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4370" activeTab="1"/>
  </bookViews>
  <sheets>
    <sheet name="Balans" sheetId="1" r:id="rId1"/>
    <sheet name="Winst &amp; Verlies" sheetId="2" r:id="rId2"/>
    <sheet name="Criteria" sheetId="4" r:id="rId3"/>
  </sheets>
  <definedNames>
    <definedName name="_xlnm.Print_Titles" localSheetId="0">Balans!$A:$C,Balans!$1:$11</definedName>
    <definedName name="_xlnm.Print_Titles" localSheetId="2">Criteria!$1:$11</definedName>
    <definedName name="_xlnm.Print_Titles" localSheetId="1">'Winst &amp; Verlies'!$A:$C,'Winst &amp; Verlies'!$1:$11</definedName>
    <definedName name="ExactAddinReport1.Area" localSheetId="0" hidden="1">Balans!$A$1:$O$17</definedName>
    <definedName name="ExactAddinReport1.Data" localSheetId="0" hidden="1">"AfterEntry=-1;Baltype=P;FinYear2=2012;Mutex1=R;ReportDate_Range.from=40909;ReportDate_Range.to=41274;ReportDate_Range.all=0;mtxAdvanced=0;System.Wizard=balance;System.Company=-1;System.Update=-1"</definedName>
    <definedName name="ExactAddinReports" hidden="1">1</definedName>
  </definedNames>
  <calcPr calcId="145621"/>
</workbook>
</file>

<file path=xl/calcChain.xml><?xml version="1.0" encoding="utf-8"?>
<calcChain xmlns="http://schemas.openxmlformats.org/spreadsheetml/2006/main">
  <c r="C21" i="2" l="1"/>
  <c r="C23" i="2" s="1"/>
  <c r="D19" i="2"/>
  <c r="P19" i="2" s="1"/>
  <c r="D18" i="2"/>
  <c r="P18" i="2" s="1"/>
  <c r="O17" i="2"/>
  <c r="N17" i="2"/>
  <c r="M17" i="2"/>
  <c r="K17" i="2"/>
  <c r="F17" i="2"/>
  <c r="E17" i="2"/>
  <c r="D17" i="2"/>
  <c r="P17" i="2" s="1"/>
  <c r="L16" i="2"/>
  <c r="P16" i="2" s="1"/>
  <c r="N15" i="2"/>
  <c r="K15" i="2"/>
  <c r="H15" i="2"/>
  <c r="G15" i="2"/>
  <c r="E15" i="2"/>
  <c r="P15" i="2" s="1"/>
  <c r="G14" i="2"/>
  <c r="P14" i="2" s="1"/>
  <c r="P13" i="2"/>
  <c r="O13" i="2"/>
  <c r="M13" i="2"/>
  <c r="L13" i="2"/>
  <c r="L21" i="2" s="1"/>
  <c r="L23" i="2" s="1"/>
  <c r="K13" i="2"/>
  <c r="K21" i="2" s="1"/>
  <c r="K23" i="2" s="1"/>
  <c r="I13" i="2"/>
  <c r="H13" i="2"/>
  <c r="D13" i="2"/>
  <c r="P12" i="2"/>
  <c r="P21" i="2" s="1"/>
  <c r="P23" i="2" s="1"/>
  <c r="O12" i="2"/>
  <c r="O21" i="2" s="1"/>
  <c r="O23" i="2" s="1"/>
  <c r="N12" i="2"/>
  <c r="N21" i="2" s="1"/>
  <c r="N23" i="2" s="1"/>
  <c r="M12" i="2"/>
  <c r="M21" i="2" s="1"/>
  <c r="M23" i="2" s="1"/>
  <c r="J12" i="2"/>
  <c r="J21" i="2" s="1"/>
  <c r="J23" i="2" s="1"/>
  <c r="I12" i="2"/>
  <c r="I21" i="2" s="1"/>
  <c r="I23" i="2" s="1"/>
  <c r="H12" i="2"/>
  <c r="H21" i="2" s="1"/>
  <c r="H23" i="2" s="1"/>
  <c r="G12" i="2"/>
  <c r="G21" i="2" s="1"/>
  <c r="G23" i="2" s="1"/>
  <c r="F12" i="2"/>
  <c r="F21" i="2" s="1"/>
  <c r="F23" i="2" s="1"/>
  <c r="E12" i="2"/>
  <c r="E21" i="2" s="1"/>
  <c r="E23" i="2" s="1"/>
  <c r="D12" i="2"/>
  <c r="D21" i="2" s="1"/>
  <c r="D23" i="2" s="1"/>
  <c r="O16" i="1"/>
  <c r="N16" i="1"/>
  <c r="P14" i="1"/>
  <c r="C14" i="1"/>
  <c r="O13" i="1"/>
  <c r="N13" i="1"/>
  <c r="M13" i="1"/>
  <c r="M16" i="1" s="1"/>
  <c r="L13" i="1"/>
  <c r="L16" i="1" s="1"/>
  <c r="K13" i="1"/>
  <c r="K16" i="1" s="1"/>
  <c r="J13" i="1"/>
  <c r="J16" i="1" s="1"/>
  <c r="I13" i="1"/>
  <c r="I16" i="1" s="1"/>
  <c r="H13" i="1"/>
  <c r="H16" i="1" s="1"/>
  <c r="G13" i="1"/>
  <c r="G16" i="1" s="1"/>
  <c r="F13" i="1"/>
  <c r="F16" i="1" s="1"/>
  <c r="E13" i="1"/>
  <c r="E16" i="1" s="1"/>
  <c r="D13" i="1"/>
  <c r="D16" i="1" s="1"/>
  <c r="C13" i="1"/>
  <c r="P13" i="1" s="1"/>
  <c r="P12" i="1"/>
  <c r="P16" i="1" s="1"/>
  <c r="C12" i="1"/>
  <c r="C16" i="1" s="1"/>
</calcChain>
</file>

<file path=xl/sharedStrings.xml><?xml version="1.0" encoding="utf-8"?>
<sst xmlns="http://schemas.openxmlformats.org/spreadsheetml/2006/main" count="101" uniqueCount="64">
  <si>
    <t>Bedrijf 001 Maaltijd en Meer</t>
  </si>
  <si>
    <t>Periodebalans - Balans - Bj 2012</t>
  </si>
  <si>
    <t>Op rapportage datum</t>
  </si>
  <si>
    <t>Vanaf rapportage datum</t>
  </si>
  <si>
    <t>T/m</t>
  </si>
  <si>
    <t>Vanaf GB-rekening</t>
  </si>
  <si>
    <t>Alle</t>
  </si>
  <si>
    <t/>
  </si>
  <si>
    <t>Onverwerkt</t>
  </si>
  <si>
    <t>Ja</t>
  </si>
  <si>
    <t>Valuta EUR x</t>
  </si>
  <si>
    <t>Periodebalans - Winst &amp; Verlies - Bj 2012</t>
  </si>
  <si>
    <t>Periodebalans - Selectiecriteria</t>
  </si>
  <si>
    <t>Van</t>
  </si>
  <si>
    <t>Rapportage datum</t>
  </si>
  <si>
    <t>GB-rekening</t>
  </si>
  <si>
    <t>Lay-out</t>
  </si>
  <si>
    <t>Periodebalans</t>
  </si>
  <si>
    <t>Precisie</t>
  </si>
  <si>
    <t>Nulsaldi</t>
  </si>
  <si>
    <t>Nee</t>
  </si>
  <si>
    <t>Boekjaar</t>
  </si>
  <si>
    <t>Verslag</t>
  </si>
  <si>
    <t>Type</t>
  </si>
  <si>
    <t>Valuta</t>
  </si>
  <si>
    <t>EUR</t>
  </si>
  <si>
    <t>Omschrijving</t>
  </si>
  <si>
    <t>Beginsaldo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</si>
  <si>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</si>
  <si>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</si>
  <si>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</si>
  <si>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</si>
  <si>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</si>
  <si>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</si>
  <si>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</si>
  <si>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</si>
  <si>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</si>
  <si>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</si>
  <si>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</si>
  <si>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</si>
  <si>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Totalen</t>
  </si>
  <si>
    <t xml:space="preserve">     0250</t>
  </si>
  <si>
    <t>Machine's Inventaris</t>
  </si>
  <si>
    <t xml:space="preserve">     1100</t>
  </si>
  <si>
    <t>Bank 137572026</t>
  </si>
  <si>
    <t>Vorig jaar Onverwerkt Winst/verlies</t>
  </si>
  <si>
    <t>Totaal</t>
  </si>
  <si>
    <t xml:space="preserve">     3000</t>
  </si>
  <si>
    <t>Inkopen restaurant</t>
  </si>
  <si>
    <t xml:space="preserve">     3010</t>
  </si>
  <si>
    <t>Inkopen Materiaal</t>
  </si>
  <si>
    <t xml:space="preserve">     3020</t>
  </si>
  <si>
    <t>vrijwilligers vergoeding</t>
  </si>
  <si>
    <t xml:space="preserve">     4310</t>
  </si>
  <si>
    <t>Contributies en heffingen</t>
  </si>
  <si>
    <t xml:space="preserve">     4311</t>
  </si>
  <si>
    <t>Algemene Kosten</t>
  </si>
  <si>
    <t xml:space="preserve">     4500</t>
  </si>
  <si>
    <t>Ontvangen Giften</t>
  </si>
  <si>
    <t xml:space="preserve">     4501</t>
  </si>
  <si>
    <t>Ontvangen giften instellingen</t>
  </si>
  <si>
    <t xml:space="preserve">     4700</t>
  </si>
  <si>
    <t>Diversen</t>
  </si>
  <si>
    <t>Totaal Balans + Winst &amp; Verlies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</si>
</sst>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D&quot;;[Red]#,##0&quot; C&quot;;&quot; &quot;"/>
    <numFmt numFmtId="165" formatCode="#,##0&quot; D&quot;;#,##0&quot; C&quot;;&quot;0 D&quot;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quotePrefix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6" fillId="0" borderId="0" xfId="0" quotePrefix="1" applyFont="1"/>
    <xf numFmtId="164" fontId="6" fillId="0" borderId="0" xfId="0" applyNumberFormat="1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5" fillId="2" borderId="0" xfId="0" applyFont="1" applyFill="1"/>
    <xf numFmtId="165" fontId="5" fillId="2" borderId="0" xfId="0" applyNumberFormat="1" applyFont="1" applyFill="1"/>
    <xf numFmtId="0" fontId="5" fillId="2" borderId="1" xfId="0" applyFont="1" applyFill="1" applyBorder="1"/>
    <xf numFmtId="0" fontId="5" fillId="2" borderId="2" xfId="0" applyFont="1" applyFill="1" applyBorder="1"/>
    <xf numFmtId="165" fontId="5" fillId="2" borderId="2" xfId="0" applyNumberFormat="1" applyFont="1" applyFill="1" applyBorder="1"/>
    <xf numFmtId="165" fontId="5" fillId="2" borderId="3" xfId="0" applyNumberFormat="1" applyFont="1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showGridLines="0" zoomScale="72" zoomScaleNormal="72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2" sqref="B2"/>
    </sheetView>
  </sheetViews>
  <sheetFormatPr defaultRowHeight="15" x14ac:dyDescent="0.25"/>
  <cols>
    <col min="1" max="1" width="16.7109375" customWidth="1"/>
    <col min="2" max="2" width="24.7109375" customWidth="1"/>
    <col min="3" max="3" width="13" bestFit="1" customWidth="1"/>
    <col min="4" max="4" width="27.85546875" bestFit="1" customWidth="1"/>
    <col min="5" max="5" width="14.85546875" bestFit="1" customWidth="1"/>
    <col min="6" max="9" width="10.7109375" customWidth="1"/>
    <col min="10" max="10" width="21.7109375" bestFit="1" customWidth="1"/>
    <col min="11" max="16" width="10.7109375" customWidth="1"/>
    <col min="17" max="17" width="0" hidden="1" customWidth="1"/>
  </cols>
  <sheetData>
    <row r="1" spans="1:17" ht="21" x14ac:dyDescent="0.35">
      <c r="A1" s="1"/>
      <c r="B1" s="1"/>
      <c r="C1" s="1"/>
      <c r="D1" s="23" t="s">
        <v>0</v>
      </c>
      <c r="E1" s="23"/>
      <c r="F1" s="23"/>
      <c r="G1" s="23"/>
      <c r="H1" s="23"/>
      <c r="I1" s="23"/>
      <c r="J1" s="23"/>
      <c r="K1" s="23"/>
      <c r="L1" s="24"/>
      <c r="M1" s="24"/>
      <c r="Q1">
        <v>1</v>
      </c>
    </row>
    <row r="2" spans="1:17" ht="21" x14ac:dyDescent="0.35">
      <c r="A2" s="1"/>
      <c r="B2" s="1"/>
      <c r="C2" s="1"/>
      <c r="D2" s="23" t="s">
        <v>1</v>
      </c>
      <c r="E2" s="23"/>
      <c r="F2" s="23"/>
      <c r="G2" s="23"/>
      <c r="H2" s="23"/>
      <c r="I2" s="23"/>
      <c r="J2" s="23"/>
      <c r="K2" s="23"/>
      <c r="L2" s="24"/>
      <c r="M2" s="24"/>
      <c r="Q2">
        <v>1000</v>
      </c>
    </row>
    <row r="3" spans="1:17" ht="21" x14ac:dyDescent="0.35">
      <c r="A3" s="1"/>
      <c r="B3" s="1"/>
      <c r="C3" s="1"/>
      <c r="D3" s="23" t="s">
        <v>2</v>
      </c>
      <c r="E3" s="23"/>
      <c r="F3" s="23"/>
      <c r="G3" s="23"/>
      <c r="H3" s="23"/>
      <c r="I3" s="23"/>
      <c r="J3" s="23"/>
      <c r="K3" s="23"/>
      <c r="L3" s="24"/>
      <c r="M3" s="24"/>
      <c r="Q3">
        <v>10000</v>
      </c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Q4">
        <v>100000</v>
      </c>
    </row>
    <row r="5" spans="1:17" x14ac:dyDescent="0.25">
      <c r="A5" s="1"/>
      <c r="B5" s="1"/>
      <c r="C5" s="1"/>
      <c r="D5" s="1" t="s">
        <v>3</v>
      </c>
      <c r="E5" s="2">
        <v>40909</v>
      </c>
      <c r="F5" s="1"/>
      <c r="G5" s="1"/>
      <c r="H5" s="1"/>
      <c r="I5" s="1"/>
      <c r="J5" s="1" t="s">
        <v>5</v>
      </c>
      <c r="K5" s="1" t="s">
        <v>6</v>
      </c>
      <c r="Q5">
        <v>1000000</v>
      </c>
    </row>
    <row r="6" spans="1:17" x14ac:dyDescent="0.25">
      <c r="A6" s="1"/>
      <c r="B6" s="1"/>
      <c r="C6" s="1"/>
      <c r="D6" s="1" t="s">
        <v>4</v>
      </c>
      <c r="E6" s="2">
        <v>41274</v>
      </c>
      <c r="F6" s="1"/>
      <c r="G6" s="1"/>
      <c r="H6" s="1"/>
      <c r="I6" s="1"/>
      <c r="J6" s="1" t="s">
        <v>4</v>
      </c>
      <c r="K6" s="3" t="s">
        <v>7</v>
      </c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 t="s">
        <v>8</v>
      </c>
      <c r="K7" s="1" t="s">
        <v>9</v>
      </c>
    </row>
    <row r="8" spans="1:17" x14ac:dyDescent="0.25">
      <c r="A8" s="1"/>
      <c r="B8" s="1"/>
      <c r="C8" s="1"/>
      <c r="D8" s="4" t="s">
        <v>10</v>
      </c>
      <c r="E8" s="5">
        <v>1</v>
      </c>
      <c r="F8" s="1"/>
      <c r="G8" s="1"/>
      <c r="H8" s="1"/>
      <c r="I8" s="1"/>
      <c r="J8" s="1"/>
      <c r="K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7" x14ac:dyDescent="0.25">
      <c r="A11" s="8" t="s">
        <v>15</v>
      </c>
      <c r="B11" s="9" t="s">
        <v>26</v>
      </c>
      <c r="C11" s="10" t="s">
        <v>27</v>
      </c>
      <c r="D11" s="10" t="s">
        <v>28</v>
      </c>
      <c r="E11" s="10" t="s">
        <v>29</v>
      </c>
      <c r="F11" s="10" t="s">
        <v>30</v>
      </c>
      <c r="G11" s="10" t="s">
        <v>31</v>
      </c>
      <c r="H11" s="10" t="s">
        <v>32</v>
      </c>
      <c r="I11" s="10" t="s">
        <v>33</v>
      </c>
      <c r="J11" s="10" t="s">
        <v>34</v>
      </c>
      <c r="K11" s="10" t="s">
        <v>35</v>
      </c>
      <c r="L11" s="10" t="s">
        <v>36</v>
      </c>
      <c r="M11" s="10" t="s">
        <v>37</v>
      </c>
      <c r="N11" s="10" t="s">
        <v>38</v>
      </c>
      <c r="O11" s="10" t="s">
        <v>39</v>
      </c>
      <c r="P11" s="10" t="s">
        <v>40</v>
      </c>
    </row>
    <row r="12" spans="1:17" x14ac:dyDescent="0.25">
      <c r="A12" s="11" t="s">
        <v>41</v>
      </c>
      <c r="B12" s="12" t="s">
        <v>42</v>
      </c>
      <c r="C12" s="13">
        <f xml:space="preserve"> 700/$E$8</f>
        <v>700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3">
        <f>SUM($C$12:$O$12)</f>
        <v>700</v>
      </c>
    </row>
    <row r="13" spans="1:17" x14ac:dyDescent="0.25">
      <c r="A13" s="11" t="s">
        <v>43</v>
      </c>
      <c r="B13" s="12" t="s">
        <v>44</v>
      </c>
      <c r="C13" s="13">
        <f xml:space="preserve"> 734.290000000002/$E$8</f>
        <v>734.29000000000201</v>
      </c>
      <c r="D13" s="13">
        <f xml:space="preserve"> 686.12/$E$8</f>
        <v>686.12</v>
      </c>
      <c r="E13" s="13">
        <f xml:space="preserve"> 45.9400000000001/$E$8</f>
        <v>45.940000000000097</v>
      </c>
      <c r="F13" s="13">
        <f xml:space="preserve"> 29/$E$8</f>
        <v>29</v>
      </c>
      <c r="G13" s="13">
        <f>-191.71/$E$8</f>
        <v>-191.71</v>
      </c>
      <c r="H13" s="13">
        <f>-325.99/$E$8</f>
        <v>-325.99</v>
      </c>
      <c r="I13" s="13">
        <f>-413.93/$E$8</f>
        <v>-413.93</v>
      </c>
      <c r="J13" s="13">
        <f>-95.31/$E$8</f>
        <v>-95.31</v>
      </c>
      <c r="K13" s="13">
        <f xml:space="preserve"> 1202.99/$E$8</f>
        <v>1202.99</v>
      </c>
      <c r="L13" s="13">
        <f>-695/$E$8</f>
        <v>-695</v>
      </c>
      <c r="M13" s="13">
        <f>-548.4/$E$8</f>
        <v>-548.4</v>
      </c>
      <c r="N13" s="13">
        <f xml:space="preserve"> 29.99/$E$8</f>
        <v>29.99</v>
      </c>
      <c r="O13" s="13">
        <f xml:space="preserve"> 781.54/$E$8</f>
        <v>781.54</v>
      </c>
      <c r="P13" s="13">
        <f>SUM($C$13:$O$13)</f>
        <v>1239.530000000002</v>
      </c>
    </row>
    <row r="14" spans="1:17" x14ac:dyDescent="0.25">
      <c r="A14" s="15" t="s">
        <v>45</v>
      </c>
      <c r="B14" s="14"/>
      <c r="C14" s="16">
        <f>-1434.29/$E$8</f>
        <v>-1434.29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6">
        <f>SUM($C$14:$O$14)</f>
        <v>-1434.29</v>
      </c>
    </row>
    <row r="15" spans="1:17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7" x14ac:dyDescent="0.25">
      <c r="A16" s="17" t="s">
        <v>46</v>
      </c>
      <c r="B16" s="17"/>
      <c r="C16" s="18">
        <f>SUBTOTAL(9,$C$12:$C$15)</f>
        <v>2.0463630789890885E-12</v>
      </c>
      <c r="D16" s="18">
        <f>SUBTOTAL(9,$D$12:$D$15)</f>
        <v>686.12</v>
      </c>
      <c r="E16" s="18">
        <f>SUBTOTAL(9,$E$12:$E$15)</f>
        <v>45.940000000000097</v>
      </c>
      <c r="F16" s="18">
        <f>SUBTOTAL(9,$F$12:$F$15)</f>
        <v>29</v>
      </c>
      <c r="G16" s="18">
        <f>SUBTOTAL(9,$G$12:$G$15)</f>
        <v>-191.71</v>
      </c>
      <c r="H16" s="18">
        <f>SUBTOTAL(9,$H$12:$H$15)</f>
        <v>-325.99</v>
      </c>
      <c r="I16" s="18">
        <f>SUBTOTAL(9,$I$12:$I$15)</f>
        <v>-413.93</v>
      </c>
      <c r="J16" s="18">
        <f>SUBTOTAL(9,$J$12:$J$15)</f>
        <v>-95.31</v>
      </c>
      <c r="K16" s="18">
        <f>SUBTOTAL(9,$K$12:$K$15)</f>
        <v>1202.99</v>
      </c>
      <c r="L16" s="18">
        <f>SUBTOTAL(9,$L$12:$L$15)</f>
        <v>-695</v>
      </c>
      <c r="M16" s="18">
        <f>SUBTOTAL(9,$M$12:$M$15)</f>
        <v>-548.4</v>
      </c>
      <c r="N16" s="18">
        <f>SUBTOTAL(9,$N$12:$N$15)</f>
        <v>29.99</v>
      </c>
      <c r="O16" s="18">
        <f>SUBTOTAL(9,$O$12:$O$15)</f>
        <v>781.54</v>
      </c>
      <c r="P16" s="18">
        <f>SUBTOTAL(9,$P$12:$P$15)</f>
        <v>505.24000000000206</v>
      </c>
    </row>
    <row r="19" hidden="1" x14ac:dyDescent="0.25"/>
    <row r="20" hidden="1" x14ac:dyDescent="0.25"/>
    <row r="21" hidden="1" x14ac:dyDescent="0.25"/>
  </sheetData>
  <mergeCells count="3">
    <mergeCell ref="D1:M1"/>
    <mergeCell ref="D2:M2"/>
    <mergeCell ref="D3:M3"/>
  </mergeCells>
  <dataValidations count="1">
    <dataValidation type="list" allowBlank="1" showInputMessage="1" showErrorMessage="1" sqref="E8">
      <formula1>$Q$1:$Q$5</formula1>
    </dataValidation>
  </dataValidations>
  <pageMargins left="0.27559055118110237" right="0.27559055118110237" top="0.27559055118110237" bottom="0.43307086614173229" header="0.31496062992125984" footer="0.15748031496062992"/>
  <pageSetup paperSize="9" scale="49" orientation="landscape" r:id="rId1"/>
  <headerFooter>
    <oddFooter>&amp;L, 001 Maaltijd en Meer&amp;R23-12-2013 1:00:33 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="72" zoomScaleNormal="72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RowHeight="15" x14ac:dyDescent="0.25"/>
  <cols>
    <col min="1" max="1" width="16.7109375" customWidth="1"/>
    <col min="2" max="2" width="24.7109375" customWidth="1"/>
    <col min="3" max="3" width="13" bestFit="1" customWidth="1"/>
    <col min="4" max="4" width="27.85546875" bestFit="1" customWidth="1"/>
    <col min="5" max="5" width="14.85546875" bestFit="1" customWidth="1"/>
    <col min="6" max="9" width="10.7109375" customWidth="1"/>
    <col min="10" max="10" width="21.7109375" bestFit="1" customWidth="1"/>
    <col min="11" max="16" width="10.7109375" customWidth="1"/>
    <col min="17" max="17" width="0" hidden="1" customWidth="1"/>
  </cols>
  <sheetData>
    <row r="1" spans="1:17" ht="21" x14ac:dyDescent="0.35">
      <c r="A1" s="1"/>
      <c r="B1" s="1"/>
      <c r="C1" s="1"/>
      <c r="D1" s="23" t="s">
        <v>0</v>
      </c>
      <c r="E1" s="23"/>
      <c r="F1" s="23"/>
      <c r="G1" s="23"/>
      <c r="H1" s="23"/>
      <c r="I1" s="23"/>
      <c r="J1" s="23"/>
      <c r="K1" s="23"/>
      <c r="L1" s="24"/>
      <c r="M1" s="24"/>
      <c r="Q1">
        <v>1</v>
      </c>
    </row>
    <row r="2" spans="1:17" ht="21" x14ac:dyDescent="0.35">
      <c r="A2" s="1"/>
      <c r="B2" s="1"/>
      <c r="C2" s="1"/>
      <c r="D2" s="23" t="s">
        <v>11</v>
      </c>
      <c r="E2" s="23"/>
      <c r="F2" s="23"/>
      <c r="G2" s="23"/>
      <c r="H2" s="23"/>
      <c r="I2" s="23"/>
      <c r="J2" s="23"/>
      <c r="K2" s="23"/>
      <c r="L2" s="24"/>
      <c r="M2" s="24"/>
      <c r="Q2">
        <v>1000</v>
      </c>
    </row>
    <row r="3" spans="1:17" ht="21" x14ac:dyDescent="0.35">
      <c r="A3" s="1"/>
      <c r="B3" s="1"/>
      <c r="C3" s="1"/>
      <c r="D3" s="23" t="s">
        <v>2</v>
      </c>
      <c r="E3" s="23"/>
      <c r="F3" s="23"/>
      <c r="G3" s="23"/>
      <c r="H3" s="23"/>
      <c r="I3" s="23"/>
      <c r="J3" s="23"/>
      <c r="K3" s="23"/>
      <c r="L3" s="24"/>
      <c r="M3" s="24"/>
      <c r="Q3">
        <v>10000</v>
      </c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Q4">
        <v>100000</v>
      </c>
    </row>
    <row r="5" spans="1:17" x14ac:dyDescent="0.25">
      <c r="A5" s="1"/>
      <c r="B5" s="1"/>
      <c r="C5" s="1"/>
      <c r="D5" s="1" t="s">
        <v>3</v>
      </c>
      <c r="E5" s="2">
        <v>40909</v>
      </c>
      <c r="F5" s="1"/>
      <c r="G5" s="1"/>
      <c r="H5" s="1"/>
      <c r="I5" s="1"/>
      <c r="J5" s="1" t="s">
        <v>5</v>
      </c>
      <c r="K5" s="1" t="s">
        <v>6</v>
      </c>
      <c r="Q5">
        <v>1000000</v>
      </c>
    </row>
    <row r="6" spans="1:17" x14ac:dyDescent="0.25">
      <c r="A6" s="1"/>
      <c r="B6" s="1"/>
      <c r="C6" s="1"/>
      <c r="D6" s="1" t="s">
        <v>4</v>
      </c>
      <c r="E6" s="2">
        <v>41274</v>
      </c>
      <c r="F6" s="1"/>
      <c r="G6" s="1"/>
      <c r="H6" s="1"/>
      <c r="I6" s="1"/>
      <c r="J6" s="1" t="s">
        <v>4</v>
      </c>
      <c r="K6" s="3" t="s">
        <v>7</v>
      </c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 t="s">
        <v>8</v>
      </c>
      <c r="K7" s="1" t="s">
        <v>9</v>
      </c>
    </row>
    <row r="8" spans="1:17" x14ac:dyDescent="0.25">
      <c r="A8" s="1"/>
      <c r="B8" s="1"/>
      <c r="C8" s="1"/>
      <c r="D8" s="4" t="s">
        <v>10</v>
      </c>
      <c r="E8" s="5">
        <v>1</v>
      </c>
      <c r="F8" s="1"/>
      <c r="G8" s="1"/>
      <c r="H8" s="1"/>
      <c r="I8" s="1"/>
      <c r="J8" s="1"/>
      <c r="K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7" x14ac:dyDescent="0.25">
      <c r="A11" s="8" t="s">
        <v>15</v>
      </c>
      <c r="B11" s="9" t="s">
        <v>26</v>
      </c>
      <c r="C11" s="10" t="s">
        <v>27</v>
      </c>
      <c r="D11" s="10" t="s">
        <v>28</v>
      </c>
      <c r="E11" s="10" t="s">
        <v>29</v>
      </c>
      <c r="F11" s="10" t="s">
        <v>30</v>
      </c>
      <c r="G11" s="10" t="s">
        <v>31</v>
      </c>
      <c r="H11" s="10" t="s">
        <v>32</v>
      </c>
      <c r="I11" s="10" t="s">
        <v>33</v>
      </c>
      <c r="J11" s="10" t="s">
        <v>34</v>
      </c>
      <c r="K11" s="10" t="s">
        <v>35</v>
      </c>
      <c r="L11" s="10" t="s">
        <v>36</v>
      </c>
      <c r="M11" s="10" t="s">
        <v>37</v>
      </c>
      <c r="N11" s="10" t="s">
        <v>38</v>
      </c>
      <c r="O11" s="10" t="s">
        <v>39</v>
      </c>
      <c r="P11" s="10" t="s">
        <v>40</v>
      </c>
    </row>
    <row r="12" spans="1:17" x14ac:dyDescent="0.25">
      <c r="A12" s="11" t="s">
        <v>47</v>
      </c>
      <c r="B12" s="12" t="s">
        <v>48</v>
      </c>
      <c r="C12" s="14"/>
      <c r="D12" s="13">
        <f xml:space="preserve"> 139.6/$E$8</f>
        <v>139.6</v>
      </c>
      <c r="E12" s="13">
        <f xml:space="preserve"> 734.96/$E$8</f>
        <v>734.96</v>
      </c>
      <c r="F12" s="13">
        <f xml:space="preserve"> 101/$E$8</f>
        <v>101</v>
      </c>
      <c r="G12" s="13">
        <f xml:space="preserve"> 142.63/$E$8</f>
        <v>142.63</v>
      </c>
      <c r="H12" s="13">
        <f xml:space="preserve"> 125.65/$E$8</f>
        <v>125.65</v>
      </c>
      <c r="I12" s="13">
        <f xml:space="preserve"> 347.88/$E$8</f>
        <v>347.88</v>
      </c>
      <c r="J12" s="13">
        <f xml:space="preserve"> 95.31/$E$8</f>
        <v>95.31</v>
      </c>
      <c r="K12" s="14"/>
      <c r="L12" s="14"/>
      <c r="M12" s="13">
        <f xml:space="preserve"> 500.17/$E$8</f>
        <v>500.17</v>
      </c>
      <c r="N12" s="13">
        <f xml:space="preserve"> 148.44/$E$8</f>
        <v>148.44</v>
      </c>
      <c r="O12" s="13">
        <f xml:space="preserve"> 553.43/$E$8</f>
        <v>553.42999999999995</v>
      </c>
      <c r="P12" s="13">
        <f>SUM($C$12:$O$12)</f>
        <v>2889.07</v>
      </c>
    </row>
    <row r="13" spans="1:17" x14ac:dyDescent="0.25">
      <c r="A13" s="11" t="s">
        <v>49</v>
      </c>
      <c r="B13" s="12" t="s">
        <v>50</v>
      </c>
      <c r="C13" s="14"/>
      <c r="D13" s="13">
        <f xml:space="preserve"> 15.75/$E$8</f>
        <v>15.75</v>
      </c>
      <c r="E13" s="14"/>
      <c r="F13" s="14"/>
      <c r="G13" s="14"/>
      <c r="H13" s="13">
        <f xml:space="preserve"> 181.03/$E$8</f>
        <v>181.03</v>
      </c>
      <c r="I13" s="13">
        <f xml:space="preserve"> 66.05/$E$8</f>
        <v>66.05</v>
      </c>
      <c r="J13" s="14"/>
      <c r="K13" s="13">
        <f xml:space="preserve"> 27.95/$E$8</f>
        <v>27.95</v>
      </c>
      <c r="L13" s="13">
        <f xml:space="preserve"> 75/$E$8</f>
        <v>75</v>
      </c>
      <c r="M13" s="13">
        <f xml:space="preserve"> 73.23/$E$8</f>
        <v>73.23</v>
      </c>
      <c r="N13" s="14"/>
      <c r="O13" s="13">
        <f xml:space="preserve"> 315.03/$E$8</f>
        <v>315.02999999999997</v>
      </c>
      <c r="P13" s="13">
        <f>SUM($C$13:$O$13)</f>
        <v>754.04</v>
      </c>
    </row>
    <row r="14" spans="1:17" x14ac:dyDescent="0.25">
      <c r="A14" s="11" t="s">
        <v>51</v>
      </c>
      <c r="B14" s="12" t="s">
        <v>52</v>
      </c>
      <c r="C14" s="14"/>
      <c r="D14" s="14"/>
      <c r="E14" s="14"/>
      <c r="F14" s="14"/>
      <c r="G14" s="13">
        <f xml:space="preserve"> 25/$E$8</f>
        <v>25</v>
      </c>
      <c r="H14" s="14"/>
      <c r="I14" s="14"/>
      <c r="J14" s="14"/>
      <c r="K14" s="14"/>
      <c r="L14" s="14"/>
      <c r="M14" s="14"/>
      <c r="N14" s="14"/>
      <c r="O14" s="14"/>
      <c r="P14" s="13">
        <f>SUM($C$14:$O$14)</f>
        <v>25</v>
      </c>
    </row>
    <row r="15" spans="1:17" x14ac:dyDescent="0.25">
      <c r="A15" s="11" t="s">
        <v>53</v>
      </c>
      <c r="B15" s="12" t="s">
        <v>54</v>
      </c>
      <c r="C15" s="14"/>
      <c r="D15" s="14"/>
      <c r="E15" s="13">
        <f xml:space="preserve"> 19.1/$E$8</f>
        <v>19.100000000000001</v>
      </c>
      <c r="F15" s="14"/>
      <c r="G15" s="13">
        <f xml:space="preserve"> 24.08/$E$8</f>
        <v>24.08</v>
      </c>
      <c r="H15" s="13">
        <f xml:space="preserve"> 19.31/$E$8</f>
        <v>19.309999999999999</v>
      </c>
      <c r="I15" s="14"/>
      <c r="J15" s="14"/>
      <c r="K15" s="13">
        <f xml:space="preserve"> 19.06/$E$8</f>
        <v>19.059999999999999</v>
      </c>
      <c r="L15" s="14"/>
      <c r="M15" s="14"/>
      <c r="N15" s="13">
        <f xml:space="preserve"> 21.57/$E$8</f>
        <v>21.57</v>
      </c>
      <c r="O15" s="14"/>
      <c r="P15" s="13">
        <f>SUM($C$15:$O$15)</f>
        <v>103.12</v>
      </c>
    </row>
    <row r="16" spans="1:17" x14ac:dyDescent="0.25">
      <c r="A16" s="11" t="s">
        <v>55</v>
      </c>
      <c r="B16" s="12" t="s">
        <v>56</v>
      </c>
      <c r="C16" s="14"/>
      <c r="D16" s="14"/>
      <c r="E16" s="14"/>
      <c r="F16" s="14"/>
      <c r="G16" s="14"/>
      <c r="H16" s="14"/>
      <c r="I16" s="14"/>
      <c r="J16" s="14"/>
      <c r="K16" s="14"/>
      <c r="L16" s="13">
        <f xml:space="preserve"> 620/$E$8</f>
        <v>620</v>
      </c>
      <c r="M16" s="14"/>
      <c r="N16" s="14"/>
      <c r="O16" s="14"/>
      <c r="P16" s="13">
        <f>SUM($C$16:$O$16)</f>
        <v>620</v>
      </c>
    </row>
    <row r="17" spans="1:16" x14ac:dyDescent="0.25">
      <c r="A17" s="11" t="s">
        <v>57</v>
      </c>
      <c r="B17" s="12" t="s">
        <v>58</v>
      </c>
      <c r="C17" s="14"/>
      <c r="D17" s="13">
        <f>-825/$E$8</f>
        <v>-825</v>
      </c>
      <c r="E17" s="13">
        <f>-800/$E$8</f>
        <v>-800</v>
      </c>
      <c r="F17" s="13">
        <f>-130/$E$8</f>
        <v>-130</v>
      </c>
      <c r="G17" s="14"/>
      <c r="H17" s="14"/>
      <c r="I17" s="14"/>
      <c r="J17" s="14"/>
      <c r="K17" s="13">
        <f>-1250/$E$8</f>
        <v>-1250</v>
      </c>
      <c r="L17" s="14"/>
      <c r="M17" s="13">
        <f>-25/$E$8</f>
        <v>-25</v>
      </c>
      <c r="N17" s="13">
        <f>-200/$E$8</f>
        <v>-200</v>
      </c>
      <c r="O17" s="13">
        <f>-1650/$E$8</f>
        <v>-1650</v>
      </c>
      <c r="P17" s="13">
        <f>SUM($C$17:$O$17)</f>
        <v>-4880</v>
      </c>
    </row>
    <row r="18" spans="1:16" x14ac:dyDescent="0.25">
      <c r="A18" s="11" t="s">
        <v>59</v>
      </c>
      <c r="B18" s="12" t="s">
        <v>60</v>
      </c>
      <c r="C18" s="14"/>
      <c r="D18" s="13">
        <f>-250/$E$8</f>
        <v>-250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3">
        <f>SUM($C$18:$O$18)</f>
        <v>-250</v>
      </c>
    </row>
    <row r="19" spans="1:16" x14ac:dyDescent="0.25">
      <c r="A19" s="11" t="s">
        <v>61</v>
      </c>
      <c r="B19" s="12" t="s">
        <v>62</v>
      </c>
      <c r="C19" s="14"/>
      <c r="D19" s="13">
        <f xml:space="preserve"> 233.53/$E$8</f>
        <v>233.53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3">
        <f>SUM($C$19:$O$19)</f>
        <v>233.53</v>
      </c>
    </row>
    <row r="20" spans="1:16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x14ac:dyDescent="0.25">
      <c r="A21" s="17" t="s">
        <v>46</v>
      </c>
      <c r="B21" s="17"/>
      <c r="C21" s="18">
        <f>SUBTOTAL(9,$C$12:$C$20)</f>
        <v>0</v>
      </c>
      <c r="D21" s="18">
        <f>SUBTOTAL(9,$D$12:$D$20)</f>
        <v>-686.12</v>
      </c>
      <c r="E21" s="18">
        <f>SUBTOTAL(9,$E$12:$E$20)</f>
        <v>-45.939999999999941</v>
      </c>
      <c r="F21" s="18">
        <f>SUBTOTAL(9,$F$12:$F$20)</f>
        <v>-29</v>
      </c>
      <c r="G21" s="18">
        <f>SUBTOTAL(9,$G$12:$G$20)</f>
        <v>191.70999999999998</v>
      </c>
      <c r="H21" s="18">
        <f>SUBTOTAL(9,$H$12:$H$20)</f>
        <v>325.99</v>
      </c>
      <c r="I21" s="18">
        <f>SUBTOTAL(9,$I$12:$I$20)</f>
        <v>413.93</v>
      </c>
      <c r="J21" s="18">
        <f>SUBTOTAL(9,$J$12:$J$20)</f>
        <v>95.31</v>
      </c>
      <c r="K21" s="18">
        <f>SUBTOTAL(9,$K$12:$K$20)</f>
        <v>-1202.99</v>
      </c>
      <c r="L21" s="18">
        <f>SUBTOTAL(9,$L$12:$L$20)</f>
        <v>695</v>
      </c>
      <c r="M21" s="18">
        <f>SUBTOTAL(9,$M$12:$M$20)</f>
        <v>548.4</v>
      </c>
      <c r="N21" s="18">
        <f>SUBTOTAL(9,$N$12:$N$20)</f>
        <v>-29.990000000000009</v>
      </c>
      <c r="O21" s="18">
        <f>SUBTOTAL(9,$O$12:$O$20)</f>
        <v>-781.54000000000008</v>
      </c>
      <c r="P21" s="18">
        <f>SUBTOTAL(9,$P$12:$P$20)</f>
        <v>-505.24000000000046</v>
      </c>
    </row>
    <row r="22" spans="1:16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x14ac:dyDescent="0.25">
      <c r="A23" s="19" t="s">
        <v>63</v>
      </c>
      <c r="B23" s="20"/>
      <c r="C23" s="21">
        <f>Balans!$C$16+$C$21</f>
        <v>2.0463630789890885E-12</v>
      </c>
      <c r="D23" s="21">
        <f>Balans!$D$16+$D$21</f>
        <v>0</v>
      </c>
      <c r="E23" s="21">
        <f>Balans!$E$16+$E$21</f>
        <v>1.5631940186722204E-13</v>
      </c>
      <c r="F23" s="21">
        <f>Balans!$F$16+$F$21</f>
        <v>0</v>
      </c>
      <c r="G23" s="21">
        <f>Balans!$G$16+$G$21</f>
        <v>0</v>
      </c>
      <c r="H23" s="21">
        <f>Balans!$H$16+$H$21</f>
        <v>0</v>
      </c>
      <c r="I23" s="21">
        <f>Balans!$I$16+$I$21</f>
        <v>0</v>
      </c>
      <c r="J23" s="21">
        <f>Balans!$J$16+$J$21</f>
        <v>0</v>
      </c>
      <c r="K23" s="21">
        <f>Balans!$K$16+$K$21</f>
        <v>0</v>
      </c>
      <c r="L23" s="21">
        <f>Balans!$L$16+$L$21</f>
        <v>0</v>
      </c>
      <c r="M23" s="21">
        <f>Balans!$M$16+$M$21</f>
        <v>0</v>
      </c>
      <c r="N23" s="21">
        <f>Balans!$N$16+$N$21</f>
        <v>0</v>
      </c>
      <c r="O23" s="21">
        <f>Balans!$O$16+$O$21</f>
        <v>0</v>
      </c>
      <c r="P23" s="22">
        <f>Balans!$P$16+$P$21</f>
        <v>1.5916157281026244E-12</v>
      </c>
    </row>
  </sheetData>
  <mergeCells count="3">
    <mergeCell ref="D1:M1"/>
    <mergeCell ref="D2:M2"/>
    <mergeCell ref="D3:M3"/>
  </mergeCells>
  <dataValidations count="1">
    <dataValidation type="list" allowBlank="1" showInputMessage="1" showErrorMessage="1" sqref="E8">
      <formula1>$Q$1:$Q$5</formula1>
    </dataValidation>
  </dataValidations>
  <pageMargins left="0.27559055118110237" right="0.27559055118110237" top="0.27559055118110237" bottom="0.43307086614173229" header="0.31496062992125984" footer="0.15748031496062992"/>
  <pageSetup paperSize="9" scale="49" orientation="landscape" r:id="rId1"/>
  <headerFooter>
    <oddFooter>&amp;L, 001 Maaltijd en Meer&amp;R23-12-2013 1:00:34 Pagina &amp;P van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="80" zoomScaleNormal="80" workbookViewId="0">
      <selection sqref="A1:F1"/>
    </sheetView>
  </sheetViews>
  <sheetFormatPr defaultRowHeight="15" x14ac:dyDescent="0.25"/>
  <cols>
    <col min="1" max="1" width="22.7109375" customWidth="1"/>
    <col min="2" max="2" width="20.7109375" customWidth="1"/>
    <col min="3" max="9" width="16.7109375" customWidth="1"/>
    <col min="10" max="10" width="0" hidden="1" customWidth="1"/>
  </cols>
  <sheetData>
    <row r="1" spans="1:11" ht="19.5" x14ac:dyDescent="0.25">
      <c r="A1" s="23" t="s">
        <v>0</v>
      </c>
      <c r="B1" s="23"/>
      <c r="C1" s="23"/>
      <c r="D1" s="23"/>
      <c r="E1" s="23"/>
      <c r="F1" s="23"/>
      <c r="G1" s="1"/>
      <c r="H1" s="1"/>
      <c r="I1" s="1"/>
      <c r="J1" s="1"/>
      <c r="K1" s="1"/>
    </row>
    <row r="2" spans="1:11" ht="19.5" x14ac:dyDescent="0.25">
      <c r="A2" s="23" t="s">
        <v>12</v>
      </c>
      <c r="B2" s="23"/>
      <c r="C2" s="23"/>
      <c r="D2" s="23"/>
      <c r="E2" s="23"/>
      <c r="F2" s="23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 t="s">
        <v>13</v>
      </c>
      <c r="C4" s="1" t="s">
        <v>4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 t="s">
        <v>14</v>
      </c>
      <c r="B5" s="2">
        <v>40909</v>
      </c>
      <c r="C5" s="2">
        <v>41274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 t="s">
        <v>15</v>
      </c>
      <c r="B6" s="6" t="s">
        <v>6</v>
      </c>
      <c r="C6" s="7" t="s">
        <v>7</v>
      </c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 t="s">
        <v>16</v>
      </c>
      <c r="B8" s="6" t="s">
        <v>17</v>
      </c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 t="s">
        <v>18</v>
      </c>
      <c r="B9" s="6">
        <v>0</v>
      </c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 t="s">
        <v>19</v>
      </c>
      <c r="B10" s="6" t="s">
        <v>20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 t="s">
        <v>21</v>
      </c>
      <c r="B11" s="6">
        <v>2012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 t="s">
        <v>22</v>
      </c>
      <c r="B12" s="6" t="s">
        <v>2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 t="s">
        <v>8</v>
      </c>
      <c r="B13" s="1" t="s">
        <v>9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 t="s">
        <v>23</v>
      </c>
      <c r="B14" s="6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 t="s">
        <v>24</v>
      </c>
      <c r="B15" s="6" t="s">
        <v>25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2">
    <mergeCell ref="A1:F1"/>
    <mergeCell ref="A2:F2"/>
  </mergeCells>
  <pageMargins left="0.27777777777777779" right="0.27777777777777779" top="0.27777777777777779" bottom="0.41666666666666669" header="0.3" footer="0.1388888888888889"/>
  <pageSetup paperSize="9" fitToHeight="0" orientation="landscape" r:id="rId1"/>
  <headerFooter>
    <oddFooter>&amp;L, 001 Maaltijd en Meer&amp;R23-12-2013 1:00:35 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Balans</vt:lpstr>
      <vt:lpstr>Winst &amp; Verlies</vt:lpstr>
      <vt:lpstr>Criteria</vt:lpstr>
      <vt:lpstr>Balans!Afdruktitels</vt:lpstr>
      <vt:lpstr>Criteria!Afdruktitels</vt:lpstr>
      <vt:lpstr>'Winst &amp; Verlies'!Afdruktitels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breggen</dc:creator>
  <cp:lastModifiedBy>Peter Koppert</cp:lastModifiedBy>
  <cp:lastPrinted>2013-12-23T00:09:52Z</cp:lastPrinted>
  <dcterms:created xsi:type="dcterms:W3CDTF">2013-12-23T00:00:30Z</dcterms:created>
  <dcterms:modified xsi:type="dcterms:W3CDTF">2015-04-15T09:05:39Z</dcterms:modified>
</cp:coreProperties>
</file>