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Hollandia Wassenaar\Documents\2024 financien\2024 3WM\"/>
    </mc:Choice>
  </mc:AlternateContent>
  <xr:revisionPtr revIDLastSave="0" documentId="13_ncr:1_{07F9897D-1EEB-4967-B1A8-D94E6C3EDD99}" xr6:coauthVersionLast="47" xr6:coauthVersionMax="47" xr10:uidLastSave="{00000000-0000-0000-0000-000000000000}"/>
  <bookViews>
    <workbookView xWindow="-120" yWindow="-120" windowWidth="29040" windowHeight="15840" tabRatio="778" xr2:uid="{00000000-000D-0000-FFFF-FFFF00000000}"/>
  </bookViews>
  <sheets>
    <sheet name="balans 2024 (2)" sheetId="81" r:id="rId1"/>
    <sheet name="winst en verlies 2024 5 jaar" sheetId="80" r:id="rId2"/>
    <sheet name="balans 2024 5 jaar" sheetId="79" r:id="rId3"/>
    <sheet name="balans 2024" sheetId="75" r:id="rId4"/>
    <sheet name="winst en verlies 2024" sheetId="74" r:id="rId5"/>
    <sheet name="kolommenbalans 2024" sheetId="73" r:id="rId6"/>
    <sheet name="balans 2023 5 jaren" sheetId="70" r:id="rId7"/>
    <sheet name="winst en verlies 2023 5 jaren" sheetId="72" r:id="rId8"/>
    <sheet name="balans 2023" sheetId="69" r:id="rId9"/>
    <sheet name="winst en verlies 2023" sheetId="68" r:id="rId10"/>
    <sheet name="kolommenbalans 2023" sheetId="67" r:id="rId11"/>
    <sheet name="balans 2022" sheetId="64" r:id="rId12"/>
    <sheet name="winst en verlies 2022" sheetId="65" r:id="rId13"/>
    <sheet name="kolommenbalans 2022" sheetId="66" r:id="rId14"/>
    <sheet name="balans 2021" sheetId="63" r:id="rId15"/>
    <sheet name="winst en verlies 2021" sheetId="62" r:id="rId16"/>
    <sheet name="kolommenbalans 2021" sheetId="60" r:id="rId17"/>
    <sheet name="balans 2020 alle jaren" sheetId="55" r:id="rId18"/>
    <sheet name="winst en verlies 2020" sheetId="56" r:id="rId19"/>
    <sheet name="kolommenbalans 2020" sheetId="57" r:id="rId20"/>
    <sheet name="balans 2020 vijf jaar" sheetId="58" r:id="rId21"/>
    <sheet name="overloop 2020" sheetId="59" r:id="rId22"/>
    <sheet name="balans 2019 alle jaren" sheetId="53" r:id="rId23"/>
    <sheet name="winst en verlies 2019" sheetId="52" r:id="rId24"/>
    <sheet name="kolommenbalans 2019" sheetId="51" r:id="rId25"/>
    <sheet name="balans 2019 vijf jaar" sheetId="54" r:id="rId26"/>
    <sheet name="overloop 2019" sheetId="50" r:id="rId27"/>
    <sheet name="hoe bij website te komen" sheetId="47" r:id="rId28"/>
    <sheet name="hoe bij website te komen oud" sheetId="23" r:id="rId29"/>
    <sheet name="balans 2018 vijf jaar" sheetId="48" r:id="rId30"/>
    <sheet name="balans 2018 alle jaren" sheetId="43" r:id="rId31"/>
    <sheet name="winst en verlies 2018" sheetId="44" r:id="rId32"/>
    <sheet name="kolommenbalans 2018" sheetId="49" r:id="rId33"/>
    <sheet name="kolommenbalans concept" sheetId="45" r:id="rId34"/>
    <sheet name="overloop 2018" sheetId="46" r:id="rId35"/>
    <sheet name="balans 2017" sheetId="42" r:id="rId36"/>
    <sheet name="balans 2017 alle jaren" sheetId="38" r:id="rId37"/>
    <sheet name="winst en verlies 2017" sheetId="39" r:id="rId38"/>
    <sheet name="kolommenbalans 2017" sheetId="40" r:id="rId39"/>
    <sheet name="overloop 2017" sheetId="41" r:id="rId40"/>
    <sheet name="balans 2016" sheetId="34" r:id="rId41"/>
    <sheet name="winst en verlies 2016" sheetId="35" r:id="rId42"/>
    <sheet name="kolommenbalans 2016" sheetId="36" r:id="rId43"/>
    <sheet name="overloop 2016" sheetId="37" r:id="rId44"/>
    <sheet name="balans 2015" sheetId="33" r:id="rId45"/>
    <sheet name="winst en verlies 2015" sheetId="32" r:id="rId46"/>
    <sheet name="kolommenbalans 2015" sheetId="30" r:id="rId47"/>
    <sheet name="overloop 2015" sheetId="31" r:id="rId48"/>
    <sheet name="balans 2014" sheetId="24" r:id="rId49"/>
    <sheet name="winst en verlies 2014" sheetId="25" r:id="rId50"/>
    <sheet name="kolommenbalans 2014" sheetId="26" r:id="rId51"/>
    <sheet name="overloop 2014" sheetId="27" r:id="rId52"/>
    <sheet name="balans 2013" sheetId="19" r:id="rId53"/>
    <sheet name="winst en verlies 2013" sheetId="20" r:id="rId54"/>
    <sheet name="kolommenbalans 2013" sheetId="21" r:id="rId55"/>
    <sheet name="overloop 2013" sheetId="22" r:id="rId56"/>
    <sheet name="balans 2012" sheetId="15" r:id="rId57"/>
    <sheet name="winst en verlies 2012" sheetId="16" r:id="rId58"/>
    <sheet name="kolommenbalans 2012" sheetId="18" r:id="rId59"/>
    <sheet name="overloop 2012" sheetId="17" r:id="rId60"/>
    <sheet name="balans 2011" sheetId="10" r:id="rId61"/>
    <sheet name="winst en verlies 2011" sheetId="11" r:id="rId62"/>
    <sheet name="rabo mutaties" sheetId="13" r:id="rId63"/>
    <sheet name="overloop 2011" sheetId="12" r:id="rId64"/>
    <sheet name="kolommenbalans 2011" sheetId="14" r:id="rId65"/>
    <sheet name="balans 2010" sheetId="7" r:id="rId66"/>
    <sheet name="winst en verlies 2010" sheetId="8" r:id="rId67"/>
    <sheet name="overloop 2010" sheetId="9" r:id="rId68"/>
    <sheet name="balans 2009" sheetId="6" r:id="rId69"/>
    <sheet name="winst en verlies 2009" sheetId="5" r:id="rId70"/>
    <sheet name="meerjarenbegroting " sheetId="1" r:id="rId71"/>
    <sheet name="prognose balansen" sheetId="4" r:id="rId72"/>
  </sheets>
  <definedNames>
    <definedName name="_xlnm.Print_Area" localSheetId="52">'balans 2013'!$A$1:$N$30</definedName>
    <definedName name="_xlnm.Print_Area" localSheetId="48">'balans 2014'!$A$1:$Q$30</definedName>
    <definedName name="_xlnm.Print_Area" localSheetId="44">'balans 2015'!$A$1:$Q$30</definedName>
    <definedName name="_xlnm.Print_Area" localSheetId="40">'balans 2016'!$A$1:$Q$30</definedName>
    <definedName name="_xlnm.Print_Area" localSheetId="35">'balans 2017'!$A$1:$Q$29</definedName>
    <definedName name="_xlnm.Print_Area" localSheetId="36">'balans 2017 alle jaren'!$A$1:$Q$30</definedName>
    <definedName name="_xlnm.Print_Area" localSheetId="30">'balans 2018 alle jaren'!$A$1:$T$30</definedName>
    <definedName name="_xlnm.Print_Area" localSheetId="29">'balans 2018 vijf jaar'!$A$1:$R$37</definedName>
    <definedName name="_xlnm.Print_Area" localSheetId="22">'balans 2019 alle jaren'!$A$1:$R$32</definedName>
    <definedName name="_xlnm.Print_Area" localSheetId="25">'balans 2019 vijf jaar'!$A$1:$U$37</definedName>
    <definedName name="_xlnm.Print_Area" localSheetId="17">'balans 2020 alle jaren'!$A$1:$R$31</definedName>
    <definedName name="_xlnm.Print_Area" localSheetId="20">'balans 2020 vijf jaar'!$A$1:$X$37</definedName>
    <definedName name="_xlnm.Print_Area" localSheetId="14">'balans 2021'!$A$1:$R$30</definedName>
    <definedName name="_xlnm.Print_Area" localSheetId="11">'balans 2022'!$A$1:$R$29</definedName>
    <definedName name="_xlnm.Print_Area" localSheetId="8">'balans 2023'!$A$1:$R$30</definedName>
    <definedName name="_xlnm.Print_Area" localSheetId="6">'balans 2023 5 jaren'!$A$1:$R$30</definedName>
    <definedName name="_xlnm.Print_Area" localSheetId="3">'balans 2024'!$A$1:$R$31</definedName>
    <definedName name="_xlnm.Print_Area" localSheetId="0">'balans 2024 (2)'!$A$1:$R$31</definedName>
    <definedName name="_xlnm.Print_Area" localSheetId="2">'balans 2024 5 jaar'!$A$1:$R$56</definedName>
    <definedName name="_xlnm.Print_Area" localSheetId="50">'kolommenbalans 2014'!$A$1:$M$29</definedName>
    <definedName name="_xlnm.Print_Area" localSheetId="46">'kolommenbalans 2015'!$A$1:$M$31</definedName>
    <definedName name="_xlnm.Print_Area" localSheetId="42">'kolommenbalans 2016'!$A$1:$P$34</definedName>
    <definedName name="_xlnm.Print_Area" localSheetId="38">'kolommenbalans 2017'!$A$1:$S$39</definedName>
    <definedName name="_xlnm.Print_Area" localSheetId="32">'kolommenbalans 2018'!$A$1:$Q$65</definedName>
    <definedName name="_xlnm.Print_Area" localSheetId="24">'kolommenbalans 2019'!$A$1:$P$74</definedName>
    <definedName name="_xlnm.Print_Area" localSheetId="19">'kolommenbalans 2020'!$A$1:$P$72</definedName>
    <definedName name="_xlnm.Print_Area" localSheetId="16">'kolommenbalans 2021'!$A$1:$P$60</definedName>
    <definedName name="_xlnm.Print_Area" localSheetId="13">'kolommenbalans 2022'!$A$1:$P$79</definedName>
    <definedName name="_xlnm.Print_Area" localSheetId="10">'kolommenbalans 2023'!$A$1:$P$59</definedName>
    <definedName name="_xlnm.Print_Area" localSheetId="5">'kolommenbalans 2024'!$A$1:$P$57</definedName>
    <definedName name="_xlnm.Print_Area" localSheetId="33">'kolommenbalans concept'!$A$1:$Q$60</definedName>
    <definedName name="_xlnm.Print_Area" localSheetId="70">'meerjarenbegroting '!$A$1:$M$32</definedName>
    <definedName name="_xlnm.Print_Area" localSheetId="43">'overloop 2016'!$A$1:$C$43</definedName>
    <definedName name="_xlnm.Print_Area" localSheetId="39">'overloop 2017'!$A$1:$C$39</definedName>
    <definedName name="_xlnm.Print_Area" localSheetId="34">'overloop 2018'!$A$1:$C$32</definedName>
    <definedName name="_xlnm.Print_Area" localSheetId="26">'overloop 2019'!$A$1:$D$28</definedName>
    <definedName name="_xlnm.Print_Area" localSheetId="21">'overloop 2020'!$A$1:$D$13</definedName>
    <definedName name="_xlnm.Print_Area" localSheetId="62">'rabo mutaties'!$A$1:$G$43</definedName>
    <definedName name="_xlnm.Print_Area" localSheetId="69">'winst en verlies 2009'!$A$1:$K$64</definedName>
    <definedName name="_xlnm.Print_Area" localSheetId="66">'winst en verlies 2010'!$A$1:$L$65</definedName>
    <definedName name="_xlnm.Print_Area" localSheetId="61">'winst en verlies 2011'!$A$1:$L$66</definedName>
    <definedName name="_xlnm.Print_Area" localSheetId="57">'winst en verlies 2012'!$A$1:$O$60</definedName>
    <definedName name="_xlnm.Print_Area" localSheetId="53">'winst en verlies 2013'!$A$1:$N$57</definedName>
    <definedName name="_xlnm.Print_Area" localSheetId="49">'winst en verlies 2014'!$A$1:$R$59</definedName>
    <definedName name="_xlnm.Print_Area" localSheetId="45">'winst en verlies 2015'!$A$1:$R$63</definedName>
    <definedName name="_xlnm.Print_Area" localSheetId="41">'winst en verlies 2016'!$A$1:$Q$62</definedName>
    <definedName name="_xlnm.Print_Area" localSheetId="37">'winst en verlies 2017'!$A$1:$R$66</definedName>
    <definedName name="_xlnm.Print_Area" localSheetId="31">'winst en verlies 2018'!$A$1:$R$67</definedName>
    <definedName name="_xlnm.Print_Area" localSheetId="23">'winst en verlies 2019'!$A$1:$U$67</definedName>
    <definedName name="_xlnm.Print_Area" localSheetId="18">'winst en verlies 2020'!$A$1:$R$76</definedName>
    <definedName name="_xlnm.Print_Area" localSheetId="15">'winst en verlies 2021'!$A$1:$R$65</definedName>
    <definedName name="_xlnm.Print_Area" localSheetId="12">'winst en verlies 2022'!$A$1:$R$64</definedName>
    <definedName name="_xlnm.Print_Area" localSheetId="9">'winst en verlies 2023'!$A$1:$R$56</definedName>
    <definedName name="_xlnm.Print_Area" localSheetId="7">'winst en verlies 2023 5 jaren'!$A$1:$R$56</definedName>
    <definedName name="_xlnm.Print_Area" localSheetId="4">'winst en verlies 2024'!$A$1:$U$57</definedName>
    <definedName name="_xlnm.Print_Area" localSheetId="1">'winst en verlies 2024 5 jaar'!$A$1:$R$56</definedName>
    <definedName name="hyperlink" localSheetId="62">'rabo mutaties'!#REF!</definedName>
    <definedName name="hyperlink2" localSheetId="62">'rabo mutaties'!#REF!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8" i="81" l="1"/>
  <c r="AE18" i="81"/>
  <c r="AB18" i="81"/>
  <c r="V18" i="81"/>
  <c r="G18" i="81"/>
  <c r="H22" i="81" s="1"/>
  <c r="D18" i="81"/>
  <c r="E22" i="81" s="1"/>
  <c r="AH17" i="81"/>
  <c r="AI20" i="81" s="1"/>
  <c r="AI22" i="81" s="1"/>
  <c r="AE17" i="81"/>
  <c r="AF20" i="81" s="1"/>
  <c r="AF22" i="81" s="1"/>
  <c r="AB17" i="81"/>
  <c r="AC20" i="81" s="1"/>
  <c r="AC22" i="81" s="1"/>
  <c r="V17" i="81"/>
  <c r="W20" i="81" s="1"/>
  <c r="W22" i="81" s="1"/>
  <c r="G17" i="81"/>
  <c r="H20" i="81" s="1"/>
  <c r="D17" i="81"/>
  <c r="E20" i="81" s="1"/>
  <c r="AH11" i="81"/>
  <c r="AI12" i="81" s="1"/>
  <c r="AI13" i="81" s="1"/>
  <c r="AE11" i="81"/>
  <c r="AF12" i="81" s="1"/>
  <c r="AF13" i="81" s="1"/>
  <c r="AB11" i="81"/>
  <c r="AC12" i="81" s="1"/>
  <c r="AC13" i="81" s="1"/>
  <c r="V11" i="81"/>
  <c r="W12" i="81" s="1"/>
  <c r="W13" i="81" s="1"/>
  <c r="G11" i="81"/>
  <c r="H13" i="81" s="1"/>
  <c r="D11" i="81"/>
  <c r="E13" i="81" s="1"/>
  <c r="AH10" i="81"/>
  <c r="AE10" i="81"/>
  <c r="AB10" i="81"/>
  <c r="V10" i="81"/>
  <c r="G10" i="81"/>
  <c r="D10" i="81"/>
  <c r="H43" i="80"/>
  <c r="G9" i="80" s="1"/>
  <c r="E54" i="80"/>
  <c r="E56" i="80" s="1"/>
  <c r="E50" i="80"/>
  <c r="E51" i="80" s="1"/>
  <c r="E49" i="80"/>
  <c r="J33" i="80"/>
  <c r="H27" i="80"/>
  <c r="D26" i="80"/>
  <c r="J23" i="80"/>
  <c r="J22" i="80"/>
  <c r="D22" i="80"/>
  <c r="E27" i="80" s="1"/>
  <c r="N19" i="80"/>
  <c r="Q16" i="80"/>
  <c r="G10" i="80"/>
  <c r="D10" i="80"/>
  <c r="D9" i="80"/>
  <c r="J6" i="80"/>
  <c r="K11" i="80" s="1"/>
  <c r="K17" i="80" s="1"/>
  <c r="K19" i="80" s="1"/>
  <c r="D6" i="80"/>
  <c r="E11" i="80" s="1"/>
  <c r="E17" i="80" s="1"/>
  <c r="E19" i="80" s="1"/>
  <c r="H43" i="74"/>
  <c r="E56" i="74"/>
  <c r="E54" i="74"/>
  <c r="D22" i="74"/>
  <c r="E50" i="74"/>
  <c r="E49" i="74"/>
  <c r="E51" i="74" s="1"/>
  <c r="E44" i="73"/>
  <c r="F6" i="73"/>
  <c r="N6" i="73" s="1"/>
  <c r="E43" i="79"/>
  <c r="G9" i="79"/>
  <c r="H49" i="79"/>
  <c r="H51" i="79" s="1"/>
  <c r="E49" i="79"/>
  <c r="E51" i="79" s="1"/>
  <c r="J33" i="79"/>
  <c r="H27" i="79"/>
  <c r="D26" i="79"/>
  <c r="J23" i="79"/>
  <c r="J22" i="79"/>
  <c r="N19" i="79"/>
  <c r="Q16" i="79"/>
  <c r="G10" i="79"/>
  <c r="D10" i="79"/>
  <c r="D9" i="79"/>
  <c r="E11" i="79" s="1"/>
  <c r="E17" i="79" s="1"/>
  <c r="E19" i="79" s="1"/>
  <c r="J6" i="79"/>
  <c r="K11" i="79" s="1"/>
  <c r="K17" i="79" s="1"/>
  <c r="K19" i="79" s="1"/>
  <c r="D6" i="79"/>
  <c r="D11" i="75"/>
  <c r="D10" i="75"/>
  <c r="D26" i="74"/>
  <c r="D10" i="74"/>
  <c r="D9" i="74"/>
  <c r="D6" i="74"/>
  <c r="B5" i="73"/>
  <c r="B36" i="73" s="1"/>
  <c r="B43" i="73" s="1"/>
  <c r="B46" i="73" s="1"/>
  <c r="I6" i="73"/>
  <c r="L43" i="73"/>
  <c r="K43" i="73"/>
  <c r="K34" i="73"/>
  <c r="M6" i="73"/>
  <c r="F32" i="73"/>
  <c r="F30" i="73"/>
  <c r="F27" i="73"/>
  <c r="F25" i="73"/>
  <c r="F23" i="73"/>
  <c r="F21" i="73"/>
  <c r="F19" i="73"/>
  <c r="F16" i="73"/>
  <c r="F14" i="73"/>
  <c r="F11" i="73"/>
  <c r="F9" i="73"/>
  <c r="L36" i="73"/>
  <c r="K36" i="73"/>
  <c r="K39" i="73" s="1"/>
  <c r="N5" i="73"/>
  <c r="E5" i="73"/>
  <c r="E36" i="73" s="1"/>
  <c r="E43" i="73" s="1"/>
  <c r="F5" i="73"/>
  <c r="D5" i="73"/>
  <c r="C5" i="73"/>
  <c r="C36" i="73"/>
  <c r="C43" i="73" s="1"/>
  <c r="C46" i="73" s="1"/>
  <c r="AH18" i="75"/>
  <c r="AE18" i="75"/>
  <c r="AF20" i="75" s="1"/>
  <c r="AF22" i="75" s="1"/>
  <c r="AB18" i="75"/>
  <c r="V18" i="75"/>
  <c r="G18" i="75"/>
  <c r="H22" i="75" s="1"/>
  <c r="AH17" i="75"/>
  <c r="AE17" i="75"/>
  <c r="AB17" i="75"/>
  <c r="AC20" i="75" s="1"/>
  <c r="AC22" i="75" s="1"/>
  <c r="V17" i="75"/>
  <c r="G17" i="75"/>
  <c r="AH11" i="75"/>
  <c r="AE11" i="75"/>
  <c r="AB11" i="75"/>
  <c r="AC12" i="75" s="1"/>
  <c r="AC13" i="75" s="1"/>
  <c r="V11" i="75"/>
  <c r="W12" i="75" s="1"/>
  <c r="W13" i="75" s="1"/>
  <c r="G11" i="75"/>
  <c r="AH10" i="75"/>
  <c r="AE10" i="75"/>
  <c r="AB10" i="75"/>
  <c r="V10" i="75"/>
  <c r="G10" i="75"/>
  <c r="S43" i="74"/>
  <c r="AO34" i="74"/>
  <c r="AL34" i="74"/>
  <c r="AI34" i="74"/>
  <c r="AC34" i="74"/>
  <c r="J33" i="74"/>
  <c r="AR27" i="74"/>
  <c r="AO27" i="74"/>
  <c r="AL27" i="74"/>
  <c r="AI27" i="74"/>
  <c r="AC27" i="74"/>
  <c r="H27" i="74"/>
  <c r="V26" i="74"/>
  <c r="S26" i="74"/>
  <c r="S24" i="74"/>
  <c r="V23" i="74"/>
  <c r="S23" i="74"/>
  <c r="J23" i="74"/>
  <c r="V22" i="74"/>
  <c r="W27" i="74" s="1"/>
  <c r="J22" i="74"/>
  <c r="N19" i="74"/>
  <c r="Q16" i="74"/>
  <c r="AR15" i="74"/>
  <c r="AO15" i="74"/>
  <c r="AL15" i="74"/>
  <c r="AI15" i="74"/>
  <c r="AI16" i="74" s="1"/>
  <c r="AC15" i="74"/>
  <c r="W15" i="74"/>
  <c r="T15" i="74"/>
  <c r="AR11" i="74"/>
  <c r="AO11" i="74"/>
  <c r="AO17" i="74" s="1"/>
  <c r="AO19" i="74" s="1"/>
  <c r="AO29" i="74" s="1"/>
  <c r="AL11" i="74"/>
  <c r="AI11" i="74"/>
  <c r="V10" i="74"/>
  <c r="S10" i="74"/>
  <c r="G10" i="74"/>
  <c r="V9" i="74"/>
  <c r="S9" i="74"/>
  <c r="AB8" i="74"/>
  <c r="AB7" i="74"/>
  <c r="V6" i="74"/>
  <c r="S6" i="74"/>
  <c r="J6" i="74"/>
  <c r="K11" i="74" s="1"/>
  <c r="K17" i="74" s="1"/>
  <c r="K19" i="74" s="1"/>
  <c r="D11" i="69"/>
  <c r="I33" i="73"/>
  <c r="N33" i="73" s="1"/>
  <c r="L28" i="73"/>
  <c r="N28" i="73" s="1"/>
  <c r="L17" i="73"/>
  <c r="N17" i="73" s="1"/>
  <c r="H12" i="73"/>
  <c r="K7" i="73"/>
  <c r="N7" i="73" s="1"/>
  <c r="B51" i="73"/>
  <c r="N35" i="73"/>
  <c r="I32" i="73"/>
  <c r="K31" i="73"/>
  <c r="N31" i="73" s="1"/>
  <c r="I30" i="73"/>
  <c r="K29" i="73"/>
  <c r="N29" i="73" s="1"/>
  <c r="I27" i="73"/>
  <c r="K26" i="73"/>
  <c r="N26" i="73" s="1"/>
  <c r="I25" i="73"/>
  <c r="K24" i="73"/>
  <c r="N24" i="73" s="1"/>
  <c r="I23" i="73"/>
  <c r="K22" i="73"/>
  <c r="N22" i="73" s="1"/>
  <c r="I21" i="73"/>
  <c r="K20" i="73"/>
  <c r="N20" i="73" s="1"/>
  <c r="I19" i="73"/>
  <c r="K18" i="73"/>
  <c r="N18" i="73" s="1"/>
  <c r="I16" i="73"/>
  <c r="K15" i="73"/>
  <c r="N15" i="73" s="1"/>
  <c r="I14" i="73"/>
  <c r="K13" i="73"/>
  <c r="N13" i="73" s="1"/>
  <c r="I11" i="73"/>
  <c r="K10" i="73"/>
  <c r="N10" i="73" s="1"/>
  <c r="I9" i="73"/>
  <c r="K8" i="73"/>
  <c r="N8" i="73" s="1"/>
  <c r="D36" i="73"/>
  <c r="E49" i="72"/>
  <c r="E51" i="72" s="1"/>
  <c r="P43" i="72"/>
  <c r="E43" i="72"/>
  <c r="D9" i="72" s="1"/>
  <c r="E11" i="72" s="1"/>
  <c r="E17" i="72" s="1"/>
  <c r="E19" i="72" s="1"/>
  <c r="AL34" i="72"/>
  <c r="AI34" i="72"/>
  <c r="AF34" i="72"/>
  <c r="Z34" i="72"/>
  <c r="G33" i="72"/>
  <c r="AO27" i="72"/>
  <c r="AL27" i="72"/>
  <c r="AI27" i="72"/>
  <c r="AF27" i="72"/>
  <c r="Z27" i="72"/>
  <c r="E27" i="72"/>
  <c r="E29" i="72" s="1"/>
  <c r="D33" i="72" s="1"/>
  <c r="E34" i="72" s="1"/>
  <c r="S26" i="72"/>
  <c r="P26" i="72"/>
  <c r="P24" i="72"/>
  <c r="Q27" i="72" s="1"/>
  <c r="S23" i="72"/>
  <c r="P23" i="72"/>
  <c r="G23" i="72"/>
  <c r="S22" i="72"/>
  <c r="T27" i="72" s="1"/>
  <c r="G22" i="72"/>
  <c r="K19" i="72"/>
  <c r="N16" i="72"/>
  <c r="AO15" i="72"/>
  <c r="AO16" i="72" s="1"/>
  <c r="AL15" i="72"/>
  <c r="AL16" i="72" s="1"/>
  <c r="AI15" i="72"/>
  <c r="AI16" i="72" s="1"/>
  <c r="AF15" i="72"/>
  <c r="AF16" i="72" s="1"/>
  <c r="Z15" i="72"/>
  <c r="T15" i="72"/>
  <c r="Q15" i="72"/>
  <c r="AO11" i="72"/>
  <c r="AO17" i="72" s="1"/>
  <c r="AO19" i="72" s="1"/>
  <c r="AO29" i="72" s="1"/>
  <c r="AN33" i="72" s="1"/>
  <c r="AO34" i="72" s="1"/>
  <c r="AL11" i="72"/>
  <c r="AL17" i="72" s="1"/>
  <c r="AL19" i="72" s="1"/>
  <c r="AL29" i="72" s="1"/>
  <c r="AI11" i="72"/>
  <c r="AI17" i="72" s="1"/>
  <c r="AI19" i="72" s="1"/>
  <c r="AI29" i="72" s="1"/>
  <c r="AF11" i="72"/>
  <c r="AF17" i="72" s="1"/>
  <c r="AF19" i="72" s="1"/>
  <c r="AF29" i="72" s="1"/>
  <c r="S10" i="72"/>
  <c r="P10" i="72"/>
  <c r="D10" i="72"/>
  <c r="S9" i="72"/>
  <c r="P9" i="72"/>
  <c r="Y8" i="72"/>
  <c r="Y7" i="72"/>
  <c r="Z11" i="72" s="1"/>
  <c r="Z17" i="72" s="1"/>
  <c r="Z19" i="72" s="1"/>
  <c r="Z29" i="72" s="1"/>
  <c r="S6" i="72"/>
  <c r="T11" i="72" s="1"/>
  <c r="T17" i="72" s="1"/>
  <c r="T19" i="72" s="1"/>
  <c r="T29" i="72" s="1"/>
  <c r="S33" i="72" s="1"/>
  <c r="T34" i="72" s="1"/>
  <c r="P6" i="72"/>
  <c r="Q11" i="72" s="1"/>
  <c r="Q17" i="72" s="1"/>
  <c r="Q19" i="72" s="1"/>
  <c r="Q29" i="72" s="1"/>
  <c r="P33" i="72" s="1"/>
  <c r="Q34" i="72" s="1"/>
  <c r="G6" i="72"/>
  <c r="H11" i="72" s="1"/>
  <c r="H17" i="72" s="1"/>
  <c r="H19" i="72" s="1"/>
  <c r="D18" i="70"/>
  <c r="E22" i="70" s="1"/>
  <c r="D17" i="70"/>
  <c r="D11" i="70"/>
  <c r="E13" i="70" s="1"/>
  <c r="D10" i="70"/>
  <c r="D17" i="69"/>
  <c r="E46" i="67"/>
  <c r="B38" i="67"/>
  <c r="C38" i="67"/>
  <c r="D38" i="67"/>
  <c r="E38" i="67"/>
  <c r="F38" i="67"/>
  <c r="H38" i="67"/>
  <c r="I38" i="67"/>
  <c r="K38" i="67"/>
  <c r="D10" i="68"/>
  <c r="E29" i="80" l="1"/>
  <c r="D33" i="80" s="1"/>
  <c r="E34" i="80" s="1"/>
  <c r="H11" i="80"/>
  <c r="H17" i="80" s="1"/>
  <c r="H19" i="80" s="1"/>
  <c r="H29" i="80"/>
  <c r="G33" i="80" s="1"/>
  <c r="H34" i="80" s="1"/>
  <c r="AR17" i="74"/>
  <c r="AR19" i="74" s="1"/>
  <c r="AR29" i="74" s="1"/>
  <c r="AQ33" i="74" s="1"/>
  <c r="AR34" i="74" s="1"/>
  <c r="T11" i="74"/>
  <c r="T17" i="74" s="1"/>
  <c r="T19" i="74" s="1"/>
  <c r="AC11" i="74"/>
  <c r="AC17" i="74" s="1"/>
  <c r="AC19" i="74" s="1"/>
  <c r="AC29" i="74" s="1"/>
  <c r="AL17" i="74"/>
  <c r="AL19" i="74" s="1"/>
  <c r="AL29" i="74" s="1"/>
  <c r="H11" i="79"/>
  <c r="H17" i="79" s="1"/>
  <c r="H19" i="79" s="1"/>
  <c r="H29" i="79" s="1"/>
  <c r="G33" i="79" s="1"/>
  <c r="H34" i="79" s="1"/>
  <c r="E11" i="74"/>
  <c r="E17" i="74" s="1"/>
  <c r="E19" i="74" s="1"/>
  <c r="W11" i="74"/>
  <c r="W17" i="74" s="1"/>
  <c r="W19" i="74" s="1"/>
  <c r="W29" i="74" s="1"/>
  <c r="V33" i="74" s="1"/>
  <c r="W34" i="74" s="1"/>
  <c r="AI17" i="74"/>
  <c r="AI19" i="74" s="1"/>
  <c r="AI29" i="74" s="1"/>
  <c r="AL16" i="74"/>
  <c r="AO16" i="74"/>
  <c r="AR16" i="74"/>
  <c r="T27" i="74"/>
  <c r="T29" i="74" s="1"/>
  <c r="S33" i="74" s="1"/>
  <c r="T34" i="74" s="1"/>
  <c r="G9" i="74"/>
  <c r="H11" i="74" s="1"/>
  <c r="H17" i="74" s="1"/>
  <c r="H19" i="74" s="1"/>
  <c r="H29" i="74" s="1"/>
  <c r="G33" i="74" s="1"/>
  <c r="H34" i="74" s="1"/>
  <c r="E13" i="75"/>
  <c r="AI20" i="75"/>
  <c r="AI22" i="75" s="1"/>
  <c r="W20" i="75"/>
  <c r="W22" i="75" s="1"/>
  <c r="AF12" i="75"/>
  <c r="AF13" i="75" s="1"/>
  <c r="H13" i="75"/>
  <c r="AI12" i="75"/>
  <c r="AI13" i="75" s="1"/>
  <c r="N32" i="73"/>
  <c r="N30" i="73"/>
  <c r="H20" i="75"/>
  <c r="W16" i="74"/>
  <c r="T16" i="74"/>
  <c r="AC16" i="74"/>
  <c r="N27" i="73"/>
  <c r="N21" i="73"/>
  <c r="N23" i="73"/>
  <c r="N25" i="73"/>
  <c r="N16" i="73"/>
  <c r="N14" i="73"/>
  <c r="M36" i="73"/>
  <c r="M43" i="73" s="1"/>
  <c r="N9" i="73"/>
  <c r="N11" i="73"/>
  <c r="D39" i="73"/>
  <c r="N19" i="73"/>
  <c r="I36" i="73"/>
  <c r="I43" i="73" s="1"/>
  <c r="F36" i="73"/>
  <c r="F43" i="73" s="1"/>
  <c r="F46" i="73" s="1"/>
  <c r="H36" i="73"/>
  <c r="H43" i="73" s="1"/>
  <c r="B55" i="73"/>
  <c r="Q16" i="72"/>
  <c r="T16" i="72"/>
  <c r="Z16" i="72"/>
  <c r="E20" i="70"/>
  <c r="L45" i="67"/>
  <c r="E52" i="66"/>
  <c r="E27" i="68"/>
  <c r="E5" i="66"/>
  <c r="E27" i="74" l="1"/>
  <c r="D18" i="75"/>
  <c r="D22" i="79"/>
  <c r="E27" i="79" s="1"/>
  <c r="E29" i="79" s="1"/>
  <c r="D33" i="79" s="1"/>
  <c r="E34" i="79" s="1"/>
  <c r="E46" i="73"/>
  <c r="O5" i="73"/>
  <c r="N36" i="73"/>
  <c r="B56" i="73"/>
  <c r="B57" i="73" s="1"/>
  <c r="D40" i="73"/>
  <c r="D43" i="73" s="1"/>
  <c r="D46" i="73" s="1"/>
  <c r="N39" i="73"/>
  <c r="D5" i="66"/>
  <c r="E43" i="68"/>
  <c r="D9" i="68" s="1"/>
  <c r="E11" i="68" s="1"/>
  <c r="E17" i="68" s="1"/>
  <c r="E19" i="68" s="1"/>
  <c r="E29" i="68" s="1"/>
  <c r="D33" i="68" s="1"/>
  <c r="N32" i="67"/>
  <c r="AE18" i="69"/>
  <c r="AB18" i="69"/>
  <c r="Y18" i="69"/>
  <c r="S18" i="69"/>
  <c r="AE17" i="69"/>
  <c r="AB17" i="69"/>
  <c r="AC20" i="69" s="1"/>
  <c r="AC22" i="69" s="1"/>
  <c r="Y17" i="69"/>
  <c r="Z20" i="69" s="1"/>
  <c r="Z22" i="69" s="1"/>
  <c r="S17" i="69"/>
  <c r="T20" i="69" s="1"/>
  <c r="T22" i="69" s="1"/>
  <c r="AE11" i="69"/>
  <c r="AB11" i="69"/>
  <c r="AC12" i="69" s="1"/>
  <c r="AC13" i="69" s="1"/>
  <c r="Y11" i="69"/>
  <c r="Z12" i="69" s="1"/>
  <c r="Z13" i="69" s="1"/>
  <c r="S11" i="69"/>
  <c r="AE10" i="69"/>
  <c r="AB10" i="69"/>
  <c r="Y10" i="69"/>
  <c r="S10" i="69"/>
  <c r="P43" i="68"/>
  <c r="AL34" i="68"/>
  <c r="AI34" i="68"/>
  <c r="AF34" i="68"/>
  <c r="Z34" i="68"/>
  <c r="AO27" i="68"/>
  <c r="AL27" i="68"/>
  <c r="AI27" i="68"/>
  <c r="AF27" i="68"/>
  <c r="Z27" i="68"/>
  <c r="S26" i="68"/>
  <c r="P26" i="68"/>
  <c r="P24" i="68"/>
  <c r="S23" i="68"/>
  <c r="P23" i="68"/>
  <c r="G23" i="68"/>
  <c r="S22" i="68"/>
  <c r="G22" i="68"/>
  <c r="K19" i="68"/>
  <c r="N16" i="68"/>
  <c r="AO15" i="68"/>
  <c r="AL15" i="68"/>
  <c r="AI15" i="68"/>
  <c r="AF15" i="68"/>
  <c r="Z15" i="68"/>
  <c r="T15" i="68"/>
  <c r="Q15" i="68"/>
  <c r="AO11" i="68"/>
  <c r="AL11" i="68"/>
  <c r="AI11" i="68"/>
  <c r="AF11" i="68"/>
  <c r="S10" i="68"/>
  <c r="P10" i="68"/>
  <c r="S9" i="68"/>
  <c r="P9" i="68"/>
  <c r="Y8" i="68"/>
  <c r="Y7" i="68"/>
  <c r="S6" i="68"/>
  <c r="P6" i="68"/>
  <c r="N33" i="67"/>
  <c r="N37" i="67"/>
  <c r="L35" i="67"/>
  <c r="N35" i="67" s="1"/>
  <c r="K36" i="67"/>
  <c r="N36" i="67" s="1"/>
  <c r="I32" i="67"/>
  <c r="I30" i="67"/>
  <c r="I28" i="67"/>
  <c r="I26" i="67"/>
  <c r="I24" i="67"/>
  <c r="I22" i="67"/>
  <c r="I20" i="67"/>
  <c r="I18" i="67"/>
  <c r="I16" i="67"/>
  <c r="I14" i="67"/>
  <c r="I11" i="67"/>
  <c r="N11" i="67" s="1"/>
  <c r="I6" i="67"/>
  <c r="H34" i="67"/>
  <c r="N34" i="67" s="1"/>
  <c r="K12" i="67"/>
  <c r="N12" i="67" s="1"/>
  <c r="K8" i="67"/>
  <c r="N8" i="67" s="1"/>
  <c r="F9" i="67"/>
  <c r="N9" i="67" s="1"/>
  <c r="F7" i="67"/>
  <c r="N7" i="67" s="1"/>
  <c r="F6" i="67"/>
  <c r="E29" i="74" l="1"/>
  <c r="D33" i="74" s="1"/>
  <c r="E34" i="74" s="1"/>
  <c r="N46" i="73"/>
  <c r="D17" i="75"/>
  <c r="N53" i="73"/>
  <c r="AF12" i="69"/>
  <c r="AF13" i="69" s="1"/>
  <c r="T12" i="69"/>
  <c r="T13" i="69" s="1"/>
  <c r="AF20" i="69"/>
  <c r="AF22" i="69" s="1"/>
  <c r="AO17" i="68"/>
  <c r="AO19" i="68" s="1"/>
  <c r="AF17" i="68"/>
  <c r="AF19" i="68" s="1"/>
  <c r="AF29" i="68" s="1"/>
  <c r="AI17" i="68"/>
  <c r="AI19" i="68" s="1"/>
  <c r="AI29" i="68" s="1"/>
  <c r="AL17" i="68"/>
  <c r="AL19" i="68" s="1"/>
  <c r="AL29" i="68" s="1"/>
  <c r="E34" i="68"/>
  <c r="AO29" i="68"/>
  <c r="AN33" i="68" s="1"/>
  <c r="AO34" i="68" s="1"/>
  <c r="T27" i="68"/>
  <c r="T11" i="68"/>
  <c r="T17" i="68" s="1"/>
  <c r="T19" i="68" s="1"/>
  <c r="AI16" i="68"/>
  <c r="Q11" i="68"/>
  <c r="Q17" i="68" s="1"/>
  <c r="Q19" i="68" s="1"/>
  <c r="Z16" i="68"/>
  <c r="AO16" i="68"/>
  <c r="Q27" i="68"/>
  <c r="Z11" i="68"/>
  <c r="Z17" i="68" s="1"/>
  <c r="Z19" i="68" s="1"/>
  <c r="Z29" i="68" s="1"/>
  <c r="AL16" i="68"/>
  <c r="AF16" i="68"/>
  <c r="Q16" i="68"/>
  <c r="B53" i="67"/>
  <c r="M38" i="67"/>
  <c r="F32" i="67"/>
  <c r="K31" i="67"/>
  <c r="N31" i="67" s="1"/>
  <c r="F30" i="67"/>
  <c r="N30" i="67" s="1"/>
  <c r="K29" i="67"/>
  <c r="N29" i="67" s="1"/>
  <c r="F28" i="67"/>
  <c r="N28" i="67" s="1"/>
  <c r="K27" i="67"/>
  <c r="N27" i="67" s="1"/>
  <c r="F26" i="67"/>
  <c r="N26" i="67" s="1"/>
  <c r="K25" i="67"/>
  <c r="N25" i="67" s="1"/>
  <c r="L38" i="67"/>
  <c r="F24" i="67"/>
  <c r="N24" i="67" s="1"/>
  <c r="H45" i="67"/>
  <c r="K23" i="67"/>
  <c r="N23" i="67" s="1"/>
  <c r="F22" i="67"/>
  <c r="N22" i="67" s="1"/>
  <c r="K21" i="67"/>
  <c r="N21" i="67" s="1"/>
  <c r="F20" i="67"/>
  <c r="N20" i="67" s="1"/>
  <c r="K19" i="67"/>
  <c r="N19" i="67" s="1"/>
  <c r="F18" i="67"/>
  <c r="N18" i="67" s="1"/>
  <c r="K17" i="67"/>
  <c r="N17" i="67" s="1"/>
  <c r="F16" i="67"/>
  <c r="N16" i="67" s="1"/>
  <c r="K15" i="67"/>
  <c r="N15" i="67" s="1"/>
  <c r="F14" i="67"/>
  <c r="N14" i="67" s="1"/>
  <c r="K13" i="67"/>
  <c r="N13" i="67" s="1"/>
  <c r="K10" i="67"/>
  <c r="N10" i="67" s="1"/>
  <c r="K5" i="67"/>
  <c r="C5" i="67"/>
  <c r="C45" i="67" s="1"/>
  <c r="C48" i="67" s="1"/>
  <c r="D17" i="64"/>
  <c r="D18" i="64"/>
  <c r="E20" i="64" s="1"/>
  <c r="D22" i="65"/>
  <c r="M44" i="66"/>
  <c r="R45" i="66"/>
  <c r="R46" i="66" s="1"/>
  <c r="E62" i="65"/>
  <c r="D71" i="66"/>
  <c r="N46" i="57"/>
  <c r="K38" i="66"/>
  <c r="N38" i="66" s="1"/>
  <c r="E44" i="65"/>
  <c r="B77" i="66"/>
  <c r="H19" i="65"/>
  <c r="D23" i="65"/>
  <c r="F31" i="66"/>
  <c r="F29" i="66"/>
  <c r="F27" i="66"/>
  <c r="F25" i="66"/>
  <c r="F22" i="66"/>
  <c r="F19" i="66"/>
  <c r="F17" i="66"/>
  <c r="F15" i="66"/>
  <c r="F13" i="66"/>
  <c r="F11" i="66"/>
  <c r="F9" i="66"/>
  <c r="F6" i="66"/>
  <c r="E22" i="75" l="1"/>
  <c r="E20" i="75"/>
  <c r="F35" i="66"/>
  <c r="F50" i="66" s="1"/>
  <c r="T29" i="68"/>
  <c r="S33" i="68" s="1"/>
  <c r="T34" i="68" s="1"/>
  <c r="T16" i="68"/>
  <c r="Q29" i="68"/>
  <c r="P33" i="68" s="1"/>
  <c r="Q34" i="68" s="1"/>
  <c r="F45" i="67"/>
  <c r="F48" i="67" s="1"/>
  <c r="D18" i="69" s="1"/>
  <c r="I45" i="67"/>
  <c r="M45" i="67"/>
  <c r="O5" i="67"/>
  <c r="K70" i="66"/>
  <c r="K71" i="66" s="1"/>
  <c r="B59" i="66"/>
  <c r="L23" i="66"/>
  <c r="L35" i="66" s="1"/>
  <c r="H21" i="66"/>
  <c r="H35" i="66" s="1"/>
  <c r="K30" i="66"/>
  <c r="N30" i="66" s="1"/>
  <c r="K28" i="66"/>
  <c r="N28" i="66" s="1"/>
  <c r="K26" i="66"/>
  <c r="N26" i="66" s="1"/>
  <c r="K24" i="66"/>
  <c r="N24" i="66" s="1"/>
  <c r="K20" i="66"/>
  <c r="N20" i="66" s="1"/>
  <c r="K18" i="66"/>
  <c r="N18" i="66" s="1"/>
  <c r="K16" i="66"/>
  <c r="N16" i="66" s="1"/>
  <c r="K14" i="66"/>
  <c r="N14" i="66" s="1"/>
  <c r="K12" i="66"/>
  <c r="N12" i="66" s="1"/>
  <c r="K10" i="66"/>
  <c r="N10" i="66" s="1"/>
  <c r="K7" i="66"/>
  <c r="N7" i="66" s="1"/>
  <c r="B75" i="66"/>
  <c r="C5" i="66"/>
  <c r="C35" i="66" s="1"/>
  <c r="C50" i="66" s="1"/>
  <c r="C54" i="66" s="1"/>
  <c r="B5" i="66"/>
  <c r="E15" i="65"/>
  <c r="M35" i="66"/>
  <c r="M50" i="66" s="1"/>
  <c r="I35" i="66"/>
  <c r="I50" i="66" s="1"/>
  <c r="G35" i="66"/>
  <c r="K5" i="66"/>
  <c r="M43" i="65"/>
  <c r="AI34" i="65"/>
  <c r="AF34" i="65"/>
  <c r="AC34" i="65"/>
  <c r="W34" i="65"/>
  <c r="AL27" i="65"/>
  <c r="AI27" i="65"/>
  <c r="AF27" i="65"/>
  <c r="AC27" i="65"/>
  <c r="W27" i="65"/>
  <c r="P26" i="65"/>
  <c r="M26" i="65"/>
  <c r="M24" i="65"/>
  <c r="P23" i="65"/>
  <c r="M23" i="65"/>
  <c r="P22" i="65"/>
  <c r="K16" i="65"/>
  <c r="AL15" i="65"/>
  <c r="AI15" i="65"/>
  <c r="AF15" i="65"/>
  <c r="AC15" i="65"/>
  <c r="W15" i="65"/>
  <c r="Q15" i="65"/>
  <c r="N15" i="65"/>
  <c r="AL11" i="65"/>
  <c r="AI11" i="65"/>
  <c r="AF11" i="65"/>
  <c r="AC11" i="65"/>
  <c r="P10" i="65"/>
  <c r="M10" i="65"/>
  <c r="P9" i="65"/>
  <c r="M9" i="65"/>
  <c r="V8" i="65"/>
  <c r="V7" i="65"/>
  <c r="P6" i="65"/>
  <c r="M6" i="65"/>
  <c r="AB18" i="64"/>
  <c r="Y18" i="64"/>
  <c r="V18" i="64"/>
  <c r="P18" i="64"/>
  <c r="AB17" i="64"/>
  <c r="AC20" i="64" s="1"/>
  <c r="AC22" i="64" s="1"/>
  <c r="Y17" i="64"/>
  <c r="Z20" i="64" s="1"/>
  <c r="Z22" i="64" s="1"/>
  <c r="V17" i="64"/>
  <c r="W20" i="64" s="1"/>
  <c r="W22" i="64" s="1"/>
  <c r="P17" i="64"/>
  <c r="AB11" i="64"/>
  <c r="AC12" i="64" s="1"/>
  <c r="AC13" i="64" s="1"/>
  <c r="Y11" i="64"/>
  <c r="V11" i="64"/>
  <c r="P11" i="64"/>
  <c r="AB10" i="64"/>
  <c r="Y10" i="64"/>
  <c r="V10" i="64"/>
  <c r="P10" i="64"/>
  <c r="H16" i="62"/>
  <c r="D18" i="63"/>
  <c r="D17" i="63"/>
  <c r="D10" i="63"/>
  <c r="D11" i="63"/>
  <c r="N41" i="60"/>
  <c r="E41" i="60"/>
  <c r="H64" i="62" s="1"/>
  <c r="C5" i="60"/>
  <c r="C34" i="60" s="1"/>
  <c r="C39" i="60" s="1"/>
  <c r="C43" i="60" s="1"/>
  <c r="B5" i="60"/>
  <c r="E50" i="57"/>
  <c r="B66" i="57"/>
  <c r="F34" i="60"/>
  <c r="K29" i="63"/>
  <c r="Y18" i="63"/>
  <c r="V18" i="63"/>
  <c r="S18" i="63"/>
  <c r="M18" i="63"/>
  <c r="Y17" i="63"/>
  <c r="V17" i="63"/>
  <c r="W20" i="63" s="1"/>
  <c r="W23" i="63" s="1"/>
  <c r="S17" i="63"/>
  <c r="T20" i="63" s="1"/>
  <c r="T23" i="63" s="1"/>
  <c r="M17" i="63"/>
  <c r="Y11" i="63"/>
  <c r="V11" i="63"/>
  <c r="S11" i="63"/>
  <c r="M11" i="63"/>
  <c r="Y10" i="63"/>
  <c r="V10" i="63"/>
  <c r="S10" i="63"/>
  <c r="M10" i="63"/>
  <c r="H55" i="60"/>
  <c r="C55" i="60"/>
  <c r="E39" i="60"/>
  <c r="F39" i="60"/>
  <c r="E43" i="60"/>
  <c r="D33" i="62" s="1"/>
  <c r="E34" i="62" s="1"/>
  <c r="H63" i="62"/>
  <c r="E61" i="62"/>
  <c r="H53" i="62"/>
  <c r="K44" i="62"/>
  <c r="K43" i="62"/>
  <c r="D26" i="62"/>
  <c r="E27" i="62" s="1"/>
  <c r="D9" i="62"/>
  <c r="D6" i="62"/>
  <c r="D39" i="60"/>
  <c r="E15" i="62"/>
  <c r="D10" i="62"/>
  <c r="J43" i="62"/>
  <c r="AF34" i="62"/>
  <c r="AC34" i="62"/>
  <c r="Z34" i="62"/>
  <c r="T34" i="62"/>
  <c r="AI27" i="62"/>
  <c r="AF27" i="62"/>
  <c r="AC27" i="62"/>
  <c r="Z27" i="62"/>
  <c r="T27" i="62"/>
  <c r="M26" i="62"/>
  <c r="J26" i="62"/>
  <c r="J24" i="62"/>
  <c r="M23" i="62"/>
  <c r="J23" i="62"/>
  <c r="M22" i="62"/>
  <c r="AI15" i="62"/>
  <c r="AF15" i="62"/>
  <c r="AC15" i="62"/>
  <c r="Z15" i="62"/>
  <c r="T15" i="62"/>
  <c r="N15" i="62"/>
  <c r="K15" i="62"/>
  <c r="AI11" i="62"/>
  <c r="AF11" i="62"/>
  <c r="AC11" i="62"/>
  <c r="Z11" i="62"/>
  <c r="M10" i="62"/>
  <c r="J10" i="62"/>
  <c r="M9" i="62"/>
  <c r="J9" i="62"/>
  <c r="S8" i="62"/>
  <c r="S7" i="62"/>
  <c r="M6" i="62"/>
  <c r="J6" i="62"/>
  <c r="B58" i="60"/>
  <c r="F52" i="60"/>
  <c r="F53" i="60"/>
  <c r="F54" i="60"/>
  <c r="F47" i="60"/>
  <c r="B29" i="60"/>
  <c r="N29" i="60" s="1"/>
  <c r="N7" i="60"/>
  <c r="N9" i="60"/>
  <c r="N11" i="60"/>
  <c r="N14" i="60"/>
  <c r="N16" i="60"/>
  <c r="N18" i="60"/>
  <c r="N20" i="60"/>
  <c r="N21" i="60"/>
  <c r="N23" i="60"/>
  <c r="N25" i="60"/>
  <c r="N26" i="60"/>
  <c r="N28" i="60"/>
  <c r="F13" i="60"/>
  <c r="N13" i="60" s="1"/>
  <c r="F8" i="60"/>
  <c r="C51" i="60" s="1"/>
  <c r="F51" i="60" s="1"/>
  <c r="B55" i="60"/>
  <c r="B46" i="60"/>
  <c r="K41" i="60"/>
  <c r="K43" i="60" s="1"/>
  <c r="M34" i="60"/>
  <c r="L34" i="60"/>
  <c r="L39" i="60" s="1"/>
  <c r="I34" i="60"/>
  <c r="I41" i="60" s="1"/>
  <c r="H34" i="60"/>
  <c r="H39" i="60" s="1"/>
  <c r="H41" i="60" s="1"/>
  <c r="G34" i="60"/>
  <c r="E34" i="60"/>
  <c r="D34" i="60"/>
  <c r="N32" i="60"/>
  <c r="N31" i="60"/>
  <c r="N30" i="60"/>
  <c r="B27" i="60"/>
  <c r="N27" i="60" s="1"/>
  <c r="B24" i="60"/>
  <c r="N24" i="60" s="1"/>
  <c r="B22" i="60"/>
  <c r="N22" i="60" s="1"/>
  <c r="B19" i="60"/>
  <c r="N19" i="60" s="1"/>
  <c r="B17" i="60"/>
  <c r="N17" i="60" s="1"/>
  <c r="B15" i="60"/>
  <c r="N15" i="60" s="1"/>
  <c r="B12" i="60"/>
  <c r="N12" i="60" s="1"/>
  <c r="B10" i="60"/>
  <c r="N10" i="60" s="1"/>
  <c r="B6" i="60"/>
  <c r="K5" i="60"/>
  <c r="O5" i="60" s="1"/>
  <c r="D23" i="56"/>
  <c r="E28" i="56"/>
  <c r="D22" i="56"/>
  <c r="F43" i="57"/>
  <c r="E75" i="56"/>
  <c r="E74" i="56"/>
  <c r="E73" i="56"/>
  <c r="D26" i="56"/>
  <c r="D11" i="55"/>
  <c r="E22" i="69" l="1"/>
  <c r="E20" i="69"/>
  <c r="Q46" i="67"/>
  <c r="H50" i="66"/>
  <c r="H52" i="66" s="1"/>
  <c r="H54" i="66" s="1"/>
  <c r="G6" i="68"/>
  <c r="H11" i="68" s="1"/>
  <c r="H17" i="68" s="1"/>
  <c r="H19" i="68" s="1"/>
  <c r="G33" i="68"/>
  <c r="D41" i="67"/>
  <c r="B58" i="67"/>
  <c r="N38" i="67"/>
  <c r="M52" i="66"/>
  <c r="M54" i="66" s="1"/>
  <c r="B35" i="66"/>
  <c r="N5" i="66"/>
  <c r="AL17" i="65"/>
  <c r="AL19" i="65" s="1"/>
  <c r="AL29" i="65" s="1"/>
  <c r="AK33" i="65" s="1"/>
  <c r="AL34" i="65" s="1"/>
  <c r="AC17" i="65"/>
  <c r="AC19" i="65" s="1"/>
  <c r="AC29" i="65" s="1"/>
  <c r="AF17" i="65"/>
  <c r="AF19" i="65" s="1"/>
  <c r="AF29" i="65" s="1"/>
  <c r="AI17" i="65"/>
  <c r="AI19" i="65" s="1"/>
  <c r="AI29" i="65" s="1"/>
  <c r="N11" i="65"/>
  <c r="N17" i="65" s="1"/>
  <c r="N19" i="65" s="1"/>
  <c r="AC16" i="65"/>
  <c r="N27" i="65"/>
  <c r="Q11" i="65"/>
  <c r="Q17" i="65" s="1"/>
  <c r="Q19" i="65" s="1"/>
  <c r="L50" i="66"/>
  <c r="D6" i="65"/>
  <c r="K35" i="66"/>
  <c r="N23" i="66"/>
  <c r="O5" i="66"/>
  <c r="AF16" i="65"/>
  <c r="AI16" i="65"/>
  <c r="AL16" i="65"/>
  <c r="Q27" i="65"/>
  <c r="W11" i="65"/>
  <c r="W17" i="65" s="1"/>
  <c r="W19" i="65" s="1"/>
  <c r="W29" i="65" s="1"/>
  <c r="Q12" i="64"/>
  <c r="Q13" i="64" s="1"/>
  <c r="W12" i="64"/>
  <c r="W13" i="64" s="1"/>
  <c r="Q20" i="64"/>
  <c r="Q22" i="64" s="1"/>
  <c r="Z12" i="64"/>
  <c r="Z13" i="64" s="1"/>
  <c r="I52" i="66"/>
  <c r="I54" i="66" s="1"/>
  <c r="H61" i="62"/>
  <c r="N27" i="62"/>
  <c r="W12" i="63"/>
  <c r="W13" i="63" s="1"/>
  <c r="Z12" i="63"/>
  <c r="Z13" i="63" s="1"/>
  <c r="N20" i="63"/>
  <c r="N23" i="63" s="1"/>
  <c r="Z20" i="63"/>
  <c r="Z23" i="63" s="1"/>
  <c r="T12" i="63"/>
  <c r="T13" i="63" s="1"/>
  <c r="N12" i="63"/>
  <c r="N13" i="63" s="1"/>
  <c r="K11" i="62"/>
  <c r="K17" i="62" s="1"/>
  <c r="K19" i="62" s="1"/>
  <c r="AC17" i="62"/>
  <c r="AC19" i="62" s="1"/>
  <c r="AC29" i="62" s="1"/>
  <c r="AF17" i="62"/>
  <c r="AF19" i="62" s="1"/>
  <c r="AF29" i="62" s="1"/>
  <c r="Z17" i="62"/>
  <c r="Z19" i="62" s="1"/>
  <c r="Z29" i="62" s="1"/>
  <c r="K27" i="62"/>
  <c r="AI17" i="62"/>
  <c r="AI19" i="62" s="1"/>
  <c r="AI29" i="62" s="1"/>
  <c r="AH33" i="62" s="1"/>
  <c r="AI34" i="62" s="1"/>
  <c r="T11" i="62"/>
  <c r="T17" i="62" s="1"/>
  <c r="T19" i="62" s="1"/>
  <c r="T29" i="62" s="1"/>
  <c r="E11" i="62"/>
  <c r="E17" i="62" s="1"/>
  <c r="E19" i="62" s="1"/>
  <c r="E29" i="62" s="1"/>
  <c r="AI16" i="62"/>
  <c r="Z16" i="62"/>
  <c r="K45" i="62"/>
  <c r="AC16" i="62"/>
  <c r="H65" i="62"/>
  <c r="N11" i="62"/>
  <c r="N17" i="62" s="1"/>
  <c r="N19" i="62" s="1"/>
  <c r="AF16" i="62"/>
  <c r="C50" i="60"/>
  <c r="F50" i="60" s="1"/>
  <c r="F55" i="60" s="1"/>
  <c r="N8" i="60"/>
  <c r="B34" i="60"/>
  <c r="N6" i="60"/>
  <c r="M39" i="60"/>
  <c r="L41" i="60"/>
  <c r="L43" i="60" s="1"/>
  <c r="N5" i="60"/>
  <c r="N34" i="60" s="1"/>
  <c r="H43" i="60"/>
  <c r="K34" i="60"/>
  <c r="I39" i="60"/>
  <c r="I43" i="60" s="1"/>
  <c r="E53" i="56"/>
  <c r="G26" i="56"/>
  <c r="G24" i="56"/>
  <c r="G23" i="56"/>
  <c r="G9" i="56"/>
  <c r="G6" i="56"/>
  <c r="N41" i="67" l="1"/>
  <c r="D39" i="66"/>
  <c r="N39" i="66" s="1"/>
  <c r="B50" i="66"/>
  <c r="B54" i="66" s="1"/>
  <c r="L52" i="66"/>
  <c r="L54" i="66" s="1"/>
  <c r="N35" i="66"/>
  <c r="Q51" i="66"/>
  <c r="N16" i="65"/>
  <c r="N29" i="65"/>
  <c r="M33" i="65" s="1"/>
  <c r="N34" i="65" s="1"/>
  <c r="Q29" i="65"/>
  <c r="P33" i="65" s="1"/>
  <c r="Q34" i="65" s="1"/>
  <c r="Q16" i="65"/>
  <c r="E43" i="65"/>
  <c r="E45" i="65" s="1"/>
  <c r="B76" i="66"/>
  <c r="B78" i="66" s="1"/>
  <c r="W16" i="65"/>
  <c r="K16" i="62"/>
  <c r="K29" i="62"/>
  <c r="J33" i="62" s="1"/>
  <c r="K34" i="62" s="1"/>
  <c r="N29" i="62"/>
  <c r="M33" i="62" s="1"/>
  <c r="N34" i="62" s="1"/>
  <c r="E16" i="62"/>
  <c r="B39" i="60"/>
  <c r="B43" i="60" s="1"/>
  <c r="E12" i="63" s="1"/>
  <c r="E13" i="63" s="1"/>
  <c r="O34" i="60"/>
  <c r="N16" i="62"/>
  <c r="T16" i="62"/>
  <c r="K37" i="60"/>
  <c r="D37" i="60" s="1"/>
  <c r="B59" i="60"/>
  <c r="B60" i="60" s="1"/>
  <c r="M41" i="60"/>
  <c r="F43" i="60"/>
  <c r="C6" i="59"/>
  <c r="C5" i="59"/>
  <c r="C8" i="59" s="1"/>
  <c r="F61" i="57"/>
  <c r="F62" i="57"/>
  <c r="F63" i="57"/>
  <c r="F64" i="57"/>
  <c r="F60" i="57"/>
  <c r="C66" i="51"/>
  <c r="C55" i="57"/>
  <c r="F55" i="57" s="1"/>
  <c r="E55" i="56" s="1"/>
  <c r="E56" i="56" s="1"/>
  <c r="D11" i="64" l="1"/>
  <c r="B5" i="67"/>
  <c r="K52" i="66"/>
  <c r="K54" i="66" s="1"/>
  <c r="D26" i="65"/>
  <c r="E27" i="65" s="1"/>
  <c r="D9" i="65"/>
  <c r="N43" i="60"/>
  <c r="E20" i="63"/>
  <c r="E23" i="63" s="1"/>
  <c r="N37" i="60"/>
  <c r="M43" i="60"/>
  <c r="D43" i="60"/>
  <c r="N43" i="57"/>
  <c r="C9" i="59"/>
  <c r="B71" i="57"/>
  <c r="B72" i="57" s="1"/>
  <c r="F65" i="57"/>
  <c r="F54" i="57"/>
  <c r="F57" i="57" s="1"/>
  <c r="F66" i="57" s="1"/>
  <c r="B36" i="57"/>
  <c r="N36" i="57" s="1"/>
  <c r="B37" i="57"/>
  <c r="N37" i="57" s="1"/>
  <c r="B35" i="57"/>
  <c r="N35" i="57" s="1"/>
  <c r="B45" i="67" l="1"/>
  <c r="B48" i="67" s="1"/>
  <c r="E32" i="63"/>
  <c r="M44" i="57"/>
  <c r="B54" i="57"/>
  <c r="B34" i="57"/>
  <c r="B33" i="57"/>
  <c r="N33" i="57" s="1"/>
  <c r="B32" i="57"/>
  <c r="N32" i="57" s="1"/>
  <c r="B31" i="57"/>
  <c r="N31" i="57" s="1"/>
  <c r="B30" i="57"/>
  <c r="N30" i="57" s="1"/>
  <c r="B29" i="57"/>
  <c r="B24" i="57"/>
  <c r="N24" i="57" s="1"/>
  <c r="B23" i="57"/>
  <c r="N23" i="57" s="1"/>
  <c r="B22" i="57"/>
  <c r="N22" i="57" s="1"/>
  <c r="B21" i="57"/>
  <c r="N21" i="57" s="1"/>
  <c r="B20" i="57"/>
  <c r="N20" i="57" s="1"/>
  <c r="B19" i="57"/>
  <c r="N19" i="57" s="1"/>
  <c r="B18" i="57"/>
  <c r="N18" i="57" s="1"/>
  <c r="B16" i="57"/>
  <c r="B14" i="57"/>
  <c r="N14" i="57" s="1"/>
  <c r="B11" i="57"/>
  <c r="N11" i="57" s="1"/>
  <c r="B10" i="57"/>
  <c r="B9" i="57"/>
  <c r="N9" i="57" s="1"/>
  <c r="B8" i="57"/>
  <c r="N8" i="57" s="1"/>
  <c r="D11" i="58"/>
  <c r="D10" i="58"/>
  <c r="E15" i="56"/>
  <c r="D10" i="56"/>
  <c r="H45" i="56"/>
  <c r="K23" i="58"/>
  <c r="K20" i="58"/>
  <c r="K12" i="58"/>
  <c r="K13" i="58" s="1"/>
  <c r="C54" i="57"/>
  <c r="K48" i="57"/>
  <c r="K50" i="57" s="1"/>
  <c r="N45" i="57"/>
  <c r="M39" i="57"/>
  <c r="M46" i="57" s="1"/>
  <c r="L39" i="57"/>
  <c r="L46" i="57" s="1"/>
  <c r="I39" i="57"/>
  <c r="I48" i="57" s="1"/>
  <c r="H39" i="57"/>
  <c r="H46" i="57" s="1"/>
  <c r="G39" i="57"/>
  <c r="D39" i="57"/>
  <c r="C39" i="57"/>
  <c r="N29" i="57"/>
  <c r="B28" i="57"/>
  <c r="N28" i="57" s="1"/>
  <c r="B27" i="57"/>
  <c r="N27" i="57" s="1"/>
  <c r="B26" i="57"/>
  <c r="N26" i="57" s="1"/>
  <c r="B25" i="57"/>
  <c r="N25" i="57" s="1"/>
  <c r="B17" i="57"/>
  <c r="N17" i="57" s="1"/>
  <c r="N16" i="57"/>
  <c r="B15" i="57"/>
  <c r="N15" i="57" s="1"/>
  <c r="B13" i="57"/>
  <c r="N13" i="57" s="1"/>
  <c r="B12" i="57"/>
  <c r="N12" i="57" s="1"/>
  <c r="B7" i="57"/>
  <c r="B6" i="57"/>
  <c r="N6" i="57" s="1"/>
  <c r="K5" i="57"/>
  <c r="K39" i="57" s="1"/>
  <c r="B53" i="57"/>
  <c r="E39" i="57"/>
  <c r="E46" i="57" s="1"/>
  <c r="G44" i="56"/>
  <c r="AC35" i="56"/>
  <c r="Z35" i="56"/>
  <c r="W35" i="56"/>
  <c r="Q35" i="56"/>
  <c r="AF28" i="56"/>
  <c r="AC28" i="56"/>
  <c r="Z28" i="56"/>
  <c r="W28" i="56"/>
  <c r="Q28" i="56"/>
  <c r="J26" i="56"/>
  <c r="J23" i="56"/>
  <c r="J22" i="56"/>
  <c r="AF15" i="56"/>
  <c r="AC15" i="56"/>
  <c r="Z15" i="56"/>
  <c r="W15" i="56"/>
  <c r="Q15" i="56"/>
  <c r="K15" i="56"/>
  <c r="H15" i="56"/>
  <c r="AF11" i="56"/>
  <c r="AC11" i="56"/>
  <c r="Z11" i="56"/>
  <c r="W11" i="56"/>
  <c r="J10" i="56"/>
  <c r="G10" i="56"/>
  <c r="J9" i="56"/>
  <c r="P8" i="56"/>
  <c r="P7" i="56"/>
  <c r="J6" i="56"/>
  <c r="V18" i="55"/>
  <c r="S18" i="55"/>
  <c r="P18" i="55"/>
  <c r="J18" i="55"/>
  <c r="V17" i="55"/>
  <c r="W20" i="55" s="1"/>
  <c r="W23" i="55" s="1"/>
  <c r="S17" i="55"/>
  <c r="T20" i="55" s="1"/>
  <c r="T23" i="55" s="1"/>
  <c r="P17" i="55"/>
  <c r="Q20" i="55" s="1"/>
  <c r="Q23" i="55" s="1"/>
  <c r="J17" i="55"/>
  <c r="V11" i="55"/>
  <c r="W12" i="55" s="1"/>
  <c r="W13" i="55" s="1"/>
  <c r="S11" i="55"/>
  <c r="P11" i="55"/>
  <c r="J11" i="55"/>
  <c r="V10" i="55"/>
  <c r="S10" i="55"/>
  <c r="P10" i="55"/>
  <c r="J10" i="55"/>
  <c r="Q12" i="55" l="1"/>
  <c r="Q13" i="55" s="1"/>
  <c r="K20" i="55"/>
  <c r="K23" i="55" s="1"/>
  <c r="K12" i="55"/>
  <c r="K13" i="55" s="1"/>
  <c r="F44" i="57"/>
  <c r="N44" i="57"/>
  <c r="K42" i="57"/>
  <c r="D42" i="57" s="1"/>
  <c r="D46" i="57" s="1"/>
  <c r="D10" i="55" s="1"/>
  <c r="H44" i="56"/>
  <c r="H46" i="56" s="1"/>
  <c r="Z16" i="56"/>
  <c r="Z17" i="56"/>
  <c r="Z19" i="56" s="1"/>
  <c r="Z30" i="56" s="1"/>
  <c r="AF17" i="56"/>
  <c r="AF19" i="56" s="1"/>
  <c r="AF30" i="56" s="1"/>
  <c r="AE34" i="56" s="1"/>
  <c r="AF35" i="56" s="1"/>
  <c r="W16" i="56"/>
  <c r="AC17" i="56"/>
  <c r="AC19" i="56" s="1"/>
  <c r="AC30" i="56" s="1"/>
  <c r="AF16" i="56"/>
  <c r="W17" i="56"/>
  <c r="W19" i="56" s="1"/>
  <c r="W30" i="56" s="1"/>
  <c r="C46" i="57"/>
  <c r="C50" i="57" s="1"/>
  <c r="D18" i="58" s="1"/>
  <c r="N34" i="57"/>
  <c r="B39" i="57"/>
  <c r="B46" i="57" s="1"/>
  <c r="O5" i="57"/>
  <c r="E12" i="58"/>
  <c r="E13" i="58" s="1"/>
  <c r="K11" i="56"/>
  <c r="K16" i="56" s="1"/>
  <c r="Q11" i="56"/>
  <c r="Q17" i="56" s="1"/>
  <c r="Q19" i="56" s="1"/>
  <c r="Q30" i="56" s="1"/>
  <c r="K28" i="56"/>
  <c r="T12" i="55"/>
  <c r="T13" i="55" s="1"/>
  <c r="M48" i="57"/>
  <c r="H48" i="57"/>
  <c r="D6" i="56" s="1"/>
  <c r="L48" i="57"/>
  <c r="AC16" i="56"/>
  <c r="C11" i="59"/>
  <c r="E52" i="56"/>
  <c r="E64" i="56" s="1"/>
  <c r="N5" i="57"/>
  <c r="N39" i="57" s="1"/>
  <c r="F39" i="57"/>
  <c r="I46" i="57"/>
  <c r="I50" i="57" s="1"/>
  <c r="D72" i="51"/>
  <c r="N46" i="51"/>
  <c r="E13" i="55" l="1"/>
  <c r="E23" i="55" s="1"/>
  <c r="E12" i="55"/>
  <c r="N42" i="57"/>
  <c r="D9" i="56"/>
  <c r="E11" i="56" s="1"/>
  <c r="K17" i="56"/>
  <c r="K19" i="56" s="1"/>
  <c r="K30" i="56" s="1"/>
  <c r="J34" i="56" s="1"/>
  <c r="K35" i="56" s="1"/>
  <c r="F46" i="57"/>
  <c r="F50" i="57" s="1"/>
  <c r="D18" i="55" s="1"/>
  <c r="E48" i="57"/>
  <c r="N48" i="57" s="1"/>
  <c r="O39" i="57"/>
  <c r="B50" i="57"/>
  <c r="H50" i="57"/>
  <c r="L50" i="57"/>
  <c r="D50" i="57"/>
  <c r="M50" i="57"/>
  <c r="H28" i="56"/>
  <c r="Q16" i="56"/>
  <c r="N50" i="51"/>
  <c r="D17" i="58" l="1"/>
  <c r="E20" i="58" s="1"/>
  <c r="E23" i="58" s="1"/>
  <c r="H11" i="56"/>
  <c r="H17" i="56" s="1"/>
  <c r="H19" i="56" s="1"/>
  <c r="H30" i="56" s="1"/>
  <c r="G34" i="56" s="1"/>
  <c r="H35" i="56" s="1"/>
  <c r="H29" i="55"/>
  <c r="C25" i="50"/>
  <c r="B59" i="51"/>
  <c r="F59" i="51"/>
  <c r="C16" i="50"/>
  <c r="E47" i="52" s="1"/>
  <c r="N39" i="51"/>
  <c r="N50" i="57" l="1"/>
  <c r="D17" i="55"/>
  <c r="E20" i="55" s="1"/>
  <c r="H16" i="56"/>
  <c r="E17" i="56"/>
  <c r="E19" i="56" s="1"/>
  <c r="E16" i="56"/>
  <c r="T41" i="52"/>
  <c r="T42" i="52" s="1"/>
  <c r="D24" i="52"/>
  <c r="E30" i="56" l="1"/>
  <c r="D34" i="56" s="1"/>
  <c r="E35" i="56" s="1"/>
  <c r="C13" i="50"/>
  <c r="C12" i="50"/>
  <c r="C10" i="50"/>
  <c r="C8" i="50"/>
  <c r="C6" i="50"/>
  <c r="C14" i="50"/>
  <c r="E46" i="52" s="1"/>
  <c r="C4" i="50"/>
  <c r="D21" i="50" l="1"/>
  <c r="C17" i="50"/>
  <c r="C21" i="50" s="1"/>
  <c r="E45" i="52"/>
  <c r="E48" i="52" s="1"/>
  <c r="B41" i="51"/>
  <c r="N41" i="51" s="1"/>
  <c r="B40" i="51"/>
  <c r="N40" i="51" s="1"/>
  <c r="B38" i="51"/>
  <c r="L43" i="51" l="1"/>
  <c r="M43" i="51"/>
  <c r="I43" i="51"/>
  <c r="H43" i="51"/>
  <c r="N35" i="51"/>
  <c r="N36" i="51"/>
  <c r="N38" i="51"/>
  <c r="N23" i="51"/>
  <c r="B37" i="51" l="1"/>
  <c r="N37" i="51" s="1"/>
  <c r="B33" i="51"/>
  <c r="N33" i="51" s="1"/>
  <c r="B22" i="51"/>
  <c r="N22" i="51" s="1"/>
  <c r="B34" i="51"/>
  <c r="N34" i="51" s="1"/>
  <c r="B32" i="51"/>
  <c r="B31" i="51"/>
  <c r="N31" i="51" s="1"/>
  <c r="B29" i="51"/>
  <c r="N29" i="51" s="1"/>
  <c r="B30" i="51"/>
  <c r="N30" i="51" s="1"/>
  <c r="B28" i="51"/>
  <c r="B27" i="51"/>
  <c r="N27" i="51" s="1"/>
  <c r="B26" i="51"/>
  <c r="N26" i="51" s="1"/>
  <c r="B25" i="51"/>
  <c r="N25" i="51" s="1"/>
  <c r="B24" i="51"/>
  <c r="B19" i="51"/>
  <c r="N19" i="51" s="1"/>
  <c r="B21" i="51"/>
  <c r="N21" i="51" s="1"/>
  <c r="B18" i="51"/>
  <c r="N18" i="51" s="1"/>
  <c r="B20" i="51"/>
  <c r="B17" i="51"/>
  <c r="N17" i="51" s="1"/>
  <c r="B16" i="51"/>
  <c r="N16" i="51" s="1"/>
  <c r="B14" i="51"/>
  <c r="N14" i="51" s="1"/>
  <c r="B15" i="51"/>
  <c r="B13" i="51"/>
  <c r="N13" i="51" s="1"/>
  <c r="B12" i="51"/>
  <c r="N12" i="51" s="1"/>
  <c r="B11" i="51"/>
  <c r="N11" i="51" s="1"/>
  <c r="B10" i="51"/>
  <c r="B9" i="51"/>
  <c r="N9" i="51" s="1"/>
  <c r="B8" i="51"/>
  <c r="N8" i="51" s="1"/>
  <c r="B7" i="51"/>
  <c r="N48" i="51" s="1"/>
  <c r="B6" i="51"/>
  <c r="D45" i="52"/>
  <c r="D10" i="52"/>
  <c r="E15" i="52"/>
  <c r="H20" i="54"/>
  <c r="H23" i="54" s="1"/>
  <c r="H12" i="54"/>
  <c r="H13" i="54"/>
  <c r="AC11" i="52"/>
  <c r="AC16" i="52" s="1"/>
  <c r="AC15" i="52"/>
  <c r="AC28" i="52"/>
  <c r="Z35" i="52"/>
  <c r="W35" i="52"/>
  <c r="T35" i="52"/>
  <c r="N35" i="52"/>
  <c r="H15" i="52"/>
  <c r="Z11" i="52"/>
  <c r="Z15" i="52"/>
  <c r="Z28" i="52"/>
  <c r="W11" i="52"/>
  <c r="W15" i="52"/>
  <c r="W28" i="52"/>
  <c r="T11" i="52"/>
  <c r="T15" i="52"/>
  <c r="T28" i="52"/>
  <c r="M7" i="52"/>
  <c r="M8" i="52"/>
  <c r="N15" i="52"/>
  <c r="N28" i="52"/>
  <c r="H51" i="51"/>
  <c r="I53" i="51"/>
  <c r="L51" i="51"/>
  <c r="L53" i="51" s="1"/>
  <c r="D71" i="51" s="1"/>
  <c r="M51" i="51"/>
  <c r="C59" i="51"/>
  <c r="G43" i="51"/>
  <c r="N32" i="51"/>
  <c r="N28" i="51"/>
  <c r="N24" i="51"/>
  <c r="N20" i="51"/>
  <c r="N15" i="51"/>
  <c r="N6" i="51"/>
  <c r="C26" i="50"/>
  <c r="E15" i="44"/>
  <c r="D64" i="49"/>
  <c r="B62" i="49"/>
  <c r="B63" i="49"/>
  <c r="Q42" i="44" s="1"/>
  <c r="K35" i="49"/>
  <c r="K42" i="49" s="1"/>
  <c r="L34" i="49"/>
  <c r="L35" i="49"/>
  <c r="L42" i="49" s="1"/>
  <c r="O35" i="49"/>
  <c r="G22" i="52" s="1"/>
  <c r="P35" i="49"/>
  <c r="P42" i="49" s="1"/>
  <c r="P44" i="49" s="1"/>
  <c r="C50" i="49"/>
  <c r="B50" i="49"/>
  <c r="D51" i="49"/>
  <c r="D52" i="49"/>
  <c r="B6" i="49"/>
  <c r="B7" i="49"/>
  <c r="Q7" i="49" s="1"/>
  <c r="B8" i="49"/>
  <c r="B9" i="49"/>
  <c r="B10" i="49"/>
  <c r="B11" i="49"/>
  <c r="Q11" i="49" s="1"/>
  <c r="B12" i="49"/>
  <c r="B13" i="49"/>
  <c r="B14" i="49"/>
  <c r="B15" i="49"/>
  <c r="Q15" i="49" s="1"/>
  <c r="B16" i="49"/>
  <c r="B17" i="49"/>
  <c r="B18" i="49"/>
  <c r="B19" i="49"/>
  <c r="Q19" i="49" s="1"/>
  <c r="B20" i="49"/>
  <c r="B21" i="49"/>
  <c r="B22" i="49"/>
  <c r="B23" i="49"/>
  <c r="Q23" i="49" s="1"/>
  <c r="B24" i="49"/>
  <c r="B25" i="49"/>
  <c r="B26" i="49"/>
  <c r="B27" i="49"/>
  <c r="Q27" i="49" s="1"/>
  <c r="B28" i="49"/>
  <c r="B29" i="49"/>
  <c r="B30" i="49"/>
  <c r="B31" i="49"/>
  <c r="Q31" i="49" s="1"/>
  <c r="B32" i="49"/>
  <c r="H39" i="49"/>
  <c r="G23" i="52" s="1"/>
  <c r="J35" i="49"/>
  <c r="Q34" i="49"/>
  <c r="Q33" i="49"/>
  <c r="Q32" i="49"/>
  <c r="Q30" i="49"/>
  <c r="Q29" i="49"/>
  <c r="Q28" i="49"/>
  <c r="Q26" i="49"/>
  <c r="Q25" i="49"/>
  <c r="Q24" i="49"/>
  <c r="Q22" i="49"/>
  <c r="Q21" i="49"/>
  <c r="Q20" i="49"/>
  <c r="Q18" i="49"/>
  <c r="Q17" i="49"/>
  <c r="Q16" i="49"/>
  <c r="Q14" i="49"/>
  <c r="Q13" i="49"/>
  <c r="Q12" i="49"/>
  <c r="Q9" i="49"/>
  <c r="Q8" i="49"/>
  <c r="Q6" i="49"/>
  <c r="E20" i="48"/>
  <c r="E23" i="48" s="1"/>
  <c r="E12" i="48"/>
  <c r="E13" i="48" s="1"/>
  <c r="B32" i="45"/>
  <c r="B29" i="45"/>
  <c r="Q29" i="45" s="1"/>
  <c r="B31" i="45"/>
  <c r="B30" i="45"/>
  <c r="Q30" i="45" s="1"/>
  <c r="B28" i="45"/>
  <c r="B26" i="45"/>
  <c r="Q26" i="45" s="1"/>
  <c r="B24" i="45"/>
  <c r="B23" i="45"/>
  <c r="Q23" i="45" s="1"/>
  <c r="K34" i="45"/>
  <c r="L34" i="45"/>
  <c r="L42" i="45" s="1"/>
  <c r="O34" i="45"/>
  <c r="O40" i="45" s="1"/>
  <c r="O42" i="45" s="1"/>
  <c r="P34" i="45"/>
  <c r="P38" i="45"/>
  <c r="P40" i="45" s="1"/>
  <c r="P42" i="45" s="1"/>
  <c r="B56" i="45"/>
  <c r="B60" i="45" s="1"/>
  <c r="B57" i="45"/>
  <c r="B58" i="45"/>
  <c r="D66" i="39"/>
  <c r="C48" i="45"/>
  <c r="D48" i="45" s="1"/>
  <c r="D50" i="45" s="1"/>
  <c r="B48" i="45"/>
  <c r="B27" i="45"/>
  <c r="Q27" i="45"/>
  <c r="Q28" i="45"/>
  <c r="Q31" i="45"/>
  <c r="B25" i="45"/>
  <c r="K17" i="26"/>
  <c r="K20" i="26" s="1"/>
  <c r="E10" i="5"/>
  <c r="E15" i="5" s="1"/>
  <c r="E14" i="5"/>
  <c r="H46" i="5"/>
  <c r="H48" i="5"/>
  <c r="D21" i="5" s="1"/>
  <c r="E24" i="5" s="1"/>
  <c r="D20" i="21"/>
  <c r="G7" i="14"/>
  <c r="G13" i="14" s="1"/>
  <c r="G19" i="14" s="1"/>
  <c r="G5" i="18" s="1"/>
  <c r="G14" i="18" s="1"/>
  <c r="G17" i="14"/>
  <c r="G6" i="18"/>
  <c r="G18" i="18"/>
  <c r="L18" i="18" s="1"/>
  <c r="J17" i="26"/>
  <c r="J25" i="26" s="1"/>
  <c r="J29" i="26" s="1"/>
  <c r="L25" i="26"/>
  <c r="I18" i="30"/>
  <c r="I29" i="30" s="1"/>
  <c r="K18" i="30"/>
  <c r="K29" i="30" s="1"/>
  <c r="L18" i="30"/>
  <c r="L27" i="30" s="1"/>
  <c r="L29" i="30" s="1"/>
  <c r="J19" i="36"/>
  <c r="D6" i="35" s="1"/>
  <c r="G6" i="39" s="1"/>
  <c r="K19" i="36"/>
  <c r="K32" i="36" s="1"/>
  <c r="N19" i="36"/>
  <c r="H25" i="36"/>
  <c r="N25" i="36" s="1"/>
  <c r="O19" i="36"/>
  <c r="O24" i="36"/>
  <c r="O25" i="36"/>
  <c r="O26" i="36"/>
  <c r="G27" i="36"/>
  <c r="O27" i="36" s="1"/>
  <c r="D22" i="35" s="1"/>
  <c r="G22" i="39" s="1"/>
  <c r="L16" i="40"/>
  <c r="L26" i="40" s="1"/>
  <c r="D6" i="39" s="1"/>
  <c r="O21" i="40"/>
  <c r="M26" i="40"/>
  <c r="M37" i="40" s="1"/>
  <c r="P26" i="40"/>
  <c r="P35" i="40" s="1"/>
  <c r="P37" i="40" s="1"/>
  <c r="Q26" i="40"/>
  <c r="Q30" i="40"/>
  <c r="Q35" i="40" s="1"/>
  <c r="Q24" i="45"/>
  <c r="Q25" i="45"/>
  <c r="B22" i="45"/>
  <c r="Q22" i="45" s="1"/>
  <c r="B21" i="45"/>
  <c r="Q21" i="45" s="1"/>
  <c r="B20" i="45"/>
  <c r="B19" i="45"/>
  <c r="Q19" i="45" s="1"/>
  <c r="B17" i="45"/>
  <c r="Q17" i="45" s="1"/>
  <c r="B16" i="45"/>
  <c r="Q16" i="45"/>
  <c r="B12" i="45"/>
  <c r="Q12" i="45" s="1"/>
  <c r="B15" i="45"/>
  <c r="Q15" i="45" s="1"/>
  <c r="B14" i="45"/>
  <c r="Q14" i="45" s="1"/>
  <c r="B10" i="45"/>
  <c r="B9" i="45"/>
  <c r="Q9" i="45"/>
  <c r="B8" i="45"/>
  <c r="Q8" i="45" s="1"/>
  <c r="K35" i="44"/>
  <c r="J7" i="44"/>
  <c r="J8" i="44"/>
  <c r="K11" i="44" s="1"/>
  <c r="K15" i="44"/>
  <c r="K28" i="44"/>
  <c r="Q35" i="44"/>
  <c r="Q11" i="44"/>
  <c r="Q17" i="44" s="1"/>
  <c r="Q19" i="44" s="1"/>
  <c r="Q30" i="44" s="1"/>
  <c r="Q15" i="44"/>
  <c r="Q28" i="44"/>
  <c r="T35" i="44"/>
  <c r="T11" i="44"/>
  <c r="T17" i="44" s="1"/>
  <c r="T19" i="44" s="1"/>
  <c r="T30" i="44" s="1"/>
  <c r="T15" i="44"/>
  <c r="T28" i="44"/>
  <c r="W35" i="44"/>
  <c r="W11" i="44"/>
  <c r="W16" i="44" s="1"/>
  <c r="W15" i="44"/>
  <c r="W28" i="44"/>
  <c r="Z11" i="44"/>
  <c r="Z16" i="44" s="1"/>
  <c r="Z15" i="44"/>
  <c r="Z28" i="44"/>
  <c r="C19" i="46"/>
  <c r="C20" i="46" s="1"/>
  <c r="C24" i="46" s="1"/>
  <c r="C14" i="46"/>
  <c r="B6" i="45"/>
  <c r="Q6" i="45"/>
  <c r="B7" i="45"/>
  <c r="Q7" i="45" s="1"/>
  <c r="B11" i="45"/>
  <c r="Q11" i="45" s="1"/>
  <c r="B13" i="45"/>
  <c r="Q13" i="45" s="1"/>
  <c r="B18" i="45"/>
  <c r="Q18" i="45"/>
  <c r="Q20" i="45"/>
  <c r="Q38" i="45"/>
  <c r="J34" i="45"/>
  <c r="Q33" i="45"/>
  <c r="Q43" i="44"/>
  <c r="D22" i="39"/>
  <c r="I21" i="40"/>
  <c r="B21" i="40" s="1"/>
  <c r="R21" i="40" s="1"/>
  <c r="B20" i="40"/>
  <c r="R20" i="40" s="1"/>
  <c r="B18" i="40"/>
  <c r="R18" i="40" s="1"/>
  <c r="B17" i="40"/>
  <c r="R17" i="40" s="1"/>
  <c r="D17" i="40"/>
  <c r="B16" i="40"/>
  <c r="R16" i="40" s="1"/>
  <c r="B9" i="40"/>
  <c r="R9" i="40"/>
  <c r="I10" i="40"/>
  <c r="B10" i="40" s="1"/>
  <c r="B11" i="40"/>
  <c r="R11" i="40" s="1"/>
  <c r="B12" i="40"/>
  <c r="R12" i="40"/>
  <c r="B13" i="40"/>
  <c r="R13" i="40"/>
  <c r="B14" i="40"/>
  <c r="R14" i="40" s="1"/>
  <c r="B8" i="40"/>
  <c r="B7" i="40"/>
  <c r="B6" i="40"/>
  <c r="R6" i="40" s="1"/>
  <c r="Q19" i="42"/>
  <c r="H66" i="11"/>
  <c r="E17" i="14"/>
  <c r="E19" i="14" s="1"/>
  <c r="E5" i="18" s="1"/>
  <c r="E14" i="18" s="1"/>
  <c r="E22" i="18" s="1"/>
  <c r="E26" i="18" s="1"/>
  <c r="G21" i="26"/>
  <c r="C39" i="31"/>
  <c r="F23" i="30"/>
  <c r="M23" i="30"/>
  <c r="K27" i="30"/>
  <c r="G26" i="36"/>
  <c r="H19" i="36"/>
  <c r="H30" i="36" s="1"/>
  <c r="H34" i="36" s="1"/>
  <c r="J5" i="40" s="1"/>
  <c r="J26" i="40" s="1"/>
  <c r="J35" i="40" s="1"/>
  <c r="J39" i="40" s="1"/>
  <c r="C8" i="26"/>
  <c r="C9" i="26"/>
  <c r="M9" i="26" s="1"/>
  <c r="C10" i="26"/>
  <c r="M10" i="26" s="1"/>
  <c r="C11" i="26"/>
  <c r="C12" i="26"/>
  <c r="C13" i="26"/>
  <c r="M13" i="26" s="1"/>
  <c r="C14" i="26"/>
  <c r="M14" i="26" s="1"/>
  <c r="B7" i="30"/>
  <c r="B8" i="30"/>
  <c r="B9" i="30"/>
  <c r="M9" i="30" s="1"/>
  <c r="B10" i="30"/>
  <c r="B11" i="30"/>
  <c r="B12" i="30"/>
  <c r="M12" i="30" s="1"/>
  <c r="B13" i="30"/>
  <c r="M13" i="30" s="1"/>
  <c r="B14" i="30"/>
  <c r="H15" i="30"/>
  <c r="B15" i="30"/>
  <c r="B7" i="36"/>
  <c r="B8" i="36"/>
  <c r="B9" i="36"/>
  <c r="D10" i="36"/>
  <c r="B12" i="36"/>
  <c r="B13" i="36"/>
  <c r="P13" i="36"/>
  <c r="B14" i="36"/>
  <c r="P14" i="36" s="1"/>
  <c r="B16" i="36"/>
  <c r="P16" i="36" s="1"/>
  <c r="B15" i="40"/>
  <c r="R15" i="40" s="1"/>
  <c r="B22" i="40"/>
  <c r="R22" i="40" s="1"/>
  <c r="B23" i="40"/>
  <c r="R23" i="40" s="1"/>
  <c r="D15" i="26"/>
  <c r="D17" i="26"/>
  <c r="D25" i="26" s="1"/>
  <c r="D29" i="26" s="1"/>
  <c r="C5" i="30" s="1"/>
  <c r="C18" i="30" s="1"/>
  <c r="C27" i="30" s="1"/>
  <c r="C31" i="30" s="1"/>
  <c r="C5" i="36" s="1"/>
  <c r="C16" i="30"/>
  <c r="D11" i="36"/>
  <c r="C11" i="36" s="1"/>
  <c r="P11" i="36" s="1"/>
  <c r="C15" i="36"/>
  <c r="P15" i="36" s="1"/>
  <c r="C17" i="36"/>
  <c r="P17" i="36" s="1"/>
  <c r="B13" i="14"/>
  <c r="C9" i="12"/>
  <c r="C9" i="17"/>
  <c r="C13" i="17"/>
  <c r="C17" i="17"/>
  <c r="C29" i="17" s="1"/>
  <c r="I17" i="18" s="1"/>
  <c r="C17" i="18" s="1"/>
  <c r="L17" i="18" s="1"/>
  <c r="C21" i="17"/>
  <c r="C25" i="17"/>
  <c r="J10" i="21"/>
  <c r="J14" i="21"/>
  <c r="C17" i="21" s="1"/>
  <c r="E20" i="26"/>
  <c r="C33" i="31"/>
  <c r="D21" i="30"/>
  <c r="D9" i="32" s="1"/>
  <c r="E10" i="32" s="1"/>
  <c r="E15" i="32" s="1"/>
  <c r="F26" i="40"/>
  <c r="F35" i="40" s="1"/>
  <c r="F39" i="40" s="1"/>
  <c r="G26" i="40"/>
  <c r="G35" i="40"/>
  <c r="G39" i="40" s="1"/>
  <c r="D45" i="39"/>
  <c r="Q42" i="39"/>
  <c r="D10" i="39"/>
  <c r="D5" i="40"/>
  <c r="D19" i="40"/>
  <c r="D26" i="40" s="1"/>
  <c r="D35" i="40" s="1"/>
  <c r="D39" i="40" s="1"/>
  <c r="R32" i="40"/>
  <c r="R33" i="40"/>
  <c r="B46" i="40"/>
  <c r="B48" i="40"/>
  <c r="C19" i="41"/>
  <c r="C22" i="41" s="1"/>
  <c r="C26" i="41"/>
  <c r="C25" i="41"/>
  <c r="C27" i="41"/>
  <c r="C31" i="41" s="1"/>
  <c r="K26" i="40"/>
  <c r="R24" i="40"/>
  <c r="C8" i="41"/>
  <c r="C14" i="41" s="1"/>
  <c r="C6" i="41"/>
  <c r="C4" i="41"/>
  <c r="E15" i="39"/>
  <c r="G23" i="39"/>
  <c r="G7" i="39"/>
  <c r="G8" i="39"/>
  <c r="C10" i="41"/>
  <c r="R8" i="40"/>
  <c r="R7" i="40"/>
  <c r="R25" i="40"/>
  <c r="T34" i="39"/>
  <c r="Q34" i="39"/>
  <c r="N34" i="39"/>
  <c r="T27" i="39"/>
  <c r="Q27" i="39"/>
  <c r="V25" i="39"/>
  <c r="W27" i="39" s="1"/>
  <c r="M25" i="39"/>
  <c r="W15" i="39"/>
  <c r="W17" i="39" s="1"/>
  <c r="W19" i="39" s="1"/>
  <c r="W29" i="39" s="1"/>
  <c r="V33" i="39" s="1"/>
  <c r="W34" i="39" s="1"/>
  <c r="T15" i="39"/>
  <c r="Q15" i="39"/>
  <c r="N15" i="39"/>
  <c r="H15" i="39"/>
  <c r="T11" i="39"/>
  <c r="T17" i="39" s="1"/>
  <c r="V10" i="39"/>
  <c r="W11" i="39" s="1"/>
  <c r="P10" i="39"/>
  <c r="Q11" i="39"/>
  <c r="Q17" i="39" s="1"/>
  <c r="Q19" i="39" s="1"/>
  <c r="Q29" i="39" s="1"/>
  <c r="P9" i="36"/>
  <c r="D61" i="35"/>
  <c r="D44" i="35"/>
  <c r="D43" i="35"/>
  <c r="C34" i="37"/>
  <c r="C27" i="37"/>
  <c r="C17" i="37"/>
  <c r="C4" i="37"/>
  <c r="C14" i="37" s="1"/>
  <c r="P12" i="36"/>
  <c r="P8" i="36"/>
  <c r="P7" i="36"/>
  <c r="E15" i="35"/>
  <c r="P28" i="36"/>
  <c r="Q34" i="35"/>
  <c r="N34" i="35"/>
  <c r="K34" i="35"/>
  <c r="Q27" i="35"/>
  <c r="N27" i="35"/>
  <c r="S25" i="35"/>
  <c r="T27" i="35" s="1"/>
  <c r="J25" i="35"/>
  <c r="J22" i="35"/>
  <c r="K27" i="35" s="1"/>
  <c r="T15" i="35"/>
  <c r="Q15" i="35"/>
  <c r="N15" i="35"/>
  <c r="K15" i="35"/>
  <c r="Q11" i="35"/>
  <c r="Q16" i="35" s="1"/>
  <c r="S10" i="35"/>
  <c r="T11" i="35"/>
  <c r="T17" i="35" s="1"/>
  <c r="M10" i="35"/>
  <c r="N11" i="35" s="1"/>
  <c r="N33" i="32"/>
  <c r="K33" i="32"/>
  <c r="H33" i="32"/>
  <c r="D22" i="32"/>
  <c r="D21" i="32"/>
  <c r="D23" i="32"/>
  <c r="M22" i="30"/>
  <c r="M24" i="30"/>
  <c r="M11" i="30"/>
  <c r="M16" i="30"/>
  <c r="D6" i="32"/>
  <c r="E14" i="32"/>
  <c r="B61" i="32"/>
  <c r="N26" i="32"/>
  <c r="K26" i="32"/>
  <c r="P24" i="32"/>
  <c r="Q26" i="32" s="1"/>
  <c r="Q14" i="32"/>
  <c r="N14" i="32"/>
  <c r="N16" i="32" s="1"/>
  <c r="N18" i="32" s="1"/>
  <c r="N28" i="32" s="1"/>
  <c r="K14" i="32"/>
  <c r="H14" i="32"/>
  <c r="N10" i="32"/>
  <c r="P9" i="32"/>
  <c r="Q10" i="32" s="1"/>
  <c r="M7" i="30"/>
  <c r="M8" i="30"/>
  <c r="G5" i="30"/>
  <c r="G18" i="30" s="1"/>
  <c r="G27" i="30" s="1"/>
  <c r="G31" i="30" s="1"/>
  <c r="M14" i="30"/>
  <c r="M10" i="30"/>
  <c r="N40" i="25"/>
  <c r="N56" i="25" s="1"/>
  <c r="C29" i="27"/>
  <c r="L29" i="26"/>
  <c r="M22" i="26"/>
  <c r="D21" i="25"/>
  <c r="M11" i="26"/>
  <c r="M12" i="26"/>
  <c r="M8" i="26"/>
  <c r="M15" i="26"/>
  <c r="B6" i="26"/>
  <c r="M6" i="26"/>
  <c r="B7" i="26"/>
  <c r="M7" i="26" s="1"/>
  <c r="E32" i="25"/>
  <c r="E14" i="25"/>
  <c r="N5" i="26"/>
  <c r="N57" i="25"/>
  <c r="B57" i="25"/>
  <c r="N32" i="25"/>
  <c r="K32" i="25"/>
  <c r="H32" i="25"/>
  <c r="K24" i="25"/>
  <c r="H24" i="25"/>
  <c r="P22" i="25"/>
  <c r="Q24" i="25" s="1"/>
  <c r="Q14" i="25"/>
  <c r="P9" i="25"/>
  <c r="Q10" i="25" s="1"/>
  <c r="N14" i="25"/>
  <c r="K14" i="25"/>
  <c r="K10" i="25"/>
  <c r="H14" i="25"/>
  <c r="C29" i="22"/>
  <c r="H10" i="20"/>
  <c r="H16" i="20" s="1"/>
  <c r="H18" i="20" s="1"/>
  <c r="H26" i="20" s="1"/>
  <c r="H14" i="20"/>
  <c r="H24" i="20"/>
  <c r="K14" i="20"/>
  <c r="H32" i="20"/>
  <c r="K32" i="20"/>
  <c r="B56" i="20"/>
  <c r="K41" i="20"/>
  <c r="K55" i="20" s="1"/>
  <c r="K57" i="20" s="1"/>
  <c r="K56" i="20"/>
  <c r="F18" i="21"/>
  <c r="E32" i="20"/>
  <c r="E24" i="20"/>
  <c r="E14" i="20"/>
  <c r="K14" i="21"/>
  <c r="K22" i="21" s="1"/>
  <c r="I14" i="21"/>
  <c r="I22" i="21" s="1"/>
  <c r="H14" i="21"/>
  <c r="H22" i="21" s="1"/>
  <c r="M5" i="21"/>
  <c r="M22" i="20"/>
  <c r="N24" i="20" s="1"/>
  <c r="N14" i="20"/>
  <c r="M9" i="20"/>
  <c r="N10" i="20" s="1"/>
  <c r="N16" i="20" s="1"/>
  <c r="N18" i="20" s="1"/>
  <c r="H42" i="16"/>
  <c r="H52" i="16" s="1"/>
  <c r="H41" i="16"/>
  <c r="H51" i="16" s="1"/>
  <c r="L19" i="18"/>
  <c r="H56" i="16"/>
  <c r="J14" i="18"/>
  <c r="J22" i="18"/>
  <c r="H14" i="18"/>
  <c r="H22" i="18"/>
  <c r="I14" i="18"/>
  <c r="K14" i="18"/>
  <c r="K22" i="18" s="1"/>
  <c r="M5" i="18"/>
  <c r="E14" i="16"/>
  <c r="M22" i="16"/>
  <c r="N24" i="16" s="1"/>
  <c r="N14" i="16"/>
  <c r="H14" i="16"/>
  <c r="M9" i="16"/>
  <c r="N10" i="16" s="1"/>
  <c r="N15" i="16" s="1"/>
  <c r="J19" i="15"/>
  <c r="K12" i="15"/>
  <c r="K13" i="15" s="1"/>
  <c r="H62" i="11"/>
  <c r="H63" i="11" s="1"/>
  <c r="H13" i="14"/>
  <c r="H19" i="14"/>
  <c r="I13" i="14"/>
  <c r="I19" i="14"/>
  <c r="J13" i="14"/>
  <c r="J19" i="14"/>
  <c r="H51" i="11"/>
  <c r="K17" i="14"/>
  <c r="K19" i="14" s="1"/>
  <c r="C5" i="14"/>
  <c r="C7" i="14" s="1"/>
  <c r="C8" i="14" s="1"/>
  <c r="C9" i="14" s="1"/>
  <c r="C10" i="14" s="1"/>
  <c r="C11" i="14" s="1"/>
  <c r="C13" i="14" s="1"/>
  <c r="C19" i="14" s="1"/>
  <c r="B5" i="18" s="1"/>
  <c r="L16" i="14"/>
  <c r="L18" i="14"/>
  <c r="L20" i="14"/>
  <c r="L21" i="14"/>
  <c r="L23" i="14"/>
  <c r="L24" i="14"/>
  <c r="M5" i="14"/>
  <c r="M7" i="14"/>
  <c r="M8" i="14"/>
  <c r="M9" i="14"/>
  <c r="M10" i="14"/>
  <c r="M11" i="14"/>
  <c r="H55" i="8"/>
  <c r="H57" i="8" s="1"/>
  <c r="D22" i="8" s="1"/>
  <c r="G19" i="10"/>
  <c r="E14" i="11"/>
  <c r="H42" i="11"/>
  <c r="H12" i="10"/>
  <c r="H13" i="10" s="1"/>
  <c r="J9" i="11"/>
  <c r="K10" i="11"/>
  <c r="K15" i="11" s="1"/>
  <c r="K14" i="11"/>
  <c r="J22" i="11"/>
  <c r="K24" i="11" s="1"/>
  <c r="C14" i="9"/>
  <c r="C20" i="9"/>
  <c r="C40" i="9" s="1"/>
  <c r="H44" i="8"/>
  <c r="H60" i="8"/>
  <c r="H52" i="8"/>
  <c r="D21" i="8" s="1"/>
  <c r="G22" i="8"/>
  <c r="H24" i="8" s="1"/>
  <c r="G9" i="8"/>
  <c r="H10" i="8" s="1"/>
  <c r="H14" i="8"/>
  <c r="H16" i="8"/>
  <c r="H18" i="8" s="1"/>
  <c r="E14" i="8"/>
  <c r="H15" i="8"/>
  <c r="E12" i="7"/>
  <c r="E13" i="7" s="1"/>
  <c r="G19" i="6"/>
  <c r="G21" i="6"/>
  <c r="G12" i="6"/>
  <c r="G13" i="6" s="1"/>
  <c r="E12" i="6"/>
  <c r="E13" i="6" s="1"/>
  <c r="E21" i="6"/>
  <c r="H10" i="5"/>
  <c r="H14" i="5"/>
  <c r="H24" i="5"/>
  <c r="M16" i="1"/>
  <c r="M9" i="1"/>
  <c r="M13" i="1"/>
  <c r="M14" i="1" s="1"/>
  <c r="M15" i="1"/>
  <c r="M17" i="1" s="1"/>
  <c r="M25" i="1" s="1"/>
  <c r="L29" i="1" s="1"/>
  <c r="M30" i="1" s="1"/>
  <c r="M23" i="1"/>
  <c r="E9" i="1"/>
  <c r="E13" i="1"/>
  <c r="E15" i="1" s="1"/>
  <c r="E17" i="1" s="1"/>
  <c r="E25" i="1" s="1"/>
  <c r="D29" i="1" s="1"/>
  <c r="E30" i="1" s="1"/>
  <c r="E23" i="1"/>
  <c r="G9" i="1"/>
  <c r="G13" i="1"/>
  <c r="G14" i="1" s="1"/>
  <c r="G23" i="1"/>
  <c r="I9" i="1"/>
  <c r="I13" i="1"/>
  <c r="I14" i="1" s="1"/>
  <c r="I23" i="1"/>
  <c r="K9" i="1"/>
  <c r="K13" i="1"/>
  <c r="K23" i="1"/>
  <c r="L17" i="4"/>
  <c r="M20" i="4"/>
  <c r="M11" i="4"/>
  <c r="M12" i="4"/>
  <c r="K20" i="4"/>
  <c r="K11" i="4"/>
  <c r="K12" i="4" s="1"/>
  <c r="I18" i="4"/>
  <c r="I20" i="4"/>
  <c r="I11" i="4"/>
  <c r="I12" i="4" s="1"/>
  <c r="G18" i="4"/>
  <c r="G20" i="4"/>
  <c r="G21" i="4" s="1"/>
  <c r="G11" i="4"/>
  <c r="G12" i="4" s="1"/>
  <c r="E11" i="4"/>
  <c r="E12" i="4"/>
  <c r="E18" i="4"/>
  <c r="E20" i="4"/>
  <c r="H62" i="8"/>
  <c r="H43" i="8" s="1"/>
  <c r="D30" i="11"/>
  <c r="E32" i="16"/>
  <c r="H32" i="16"/>
  <c r="D22" i="25"/>
  <c r="G9" i="25"/>
  <c r="H10" i="25" s="1"/>
  <c r="N42" i="25"/>
  <c r="M25" i="30"/>
  <c r="H18" i="30"/>
  <c r="H27" i="30" s="1"/>
  <c r="H31" i="30"/>
  <c r="D18" i="10"/>
  <c r="G18" i="15"/>
  <c r="H43" i="16"/>
  <c r="D9" i="16" s="1"/>
  <c r="E10" i="16" s="1"/>
  <c r="H61" i="8"/>
  <c r="D9" i="8"/>
  <c r="E10" i="8" s="1"/>
  <c r="G24" i="32"/>
  <c r="J9" i="32"/>
  <c r="K10" i="32" s="1"/>
  <c r="L31" i="30"/>
  <c r="G21" i="32"/>
  <c r="H26" i="32"/>
  <c r="Q17" i="35"/>
  <c r="Q19" i="35"/>
  <c r="Q29" i="35" s="1"/>
  <c r="P25" i="36"/>
  <c r="T19" i="35"/>
  <c r="T16" i="35"/>
  <c r="D46" i="35"/>
  <c r="K30" i="36"/>
  <c r="K34" i="36" s="1"/>
  <c r="T16" i="39"/>
  <c r="T19" i="39"/>
  <c r="T29" i="39" s="1"/>
  <c r="D47" i="39"/>
  <c r="P39" i="40"/>
  <c r="H42" i="8"/>
  <c r="H15" i="5"/>
  <c r="D24" i="35"/>
  <c r="G24" i="39" s="1"/>
  <c r="K15" i="1"/>
  <c r="K17" i="1" s="1"/>
  <c r="K25" i="1" s="1"/>
  <c r="J29" i="1" s="1"/>
  <c r="K30" i="1" s="1"/>
  <c r="K16" i="11"/>
  <c r="K18" i="11" s="1"/>
  <c r="K26" i="11" s="1"/>
  <c r="J31" i="11" s="1"/>
  <c r="K32" i="11" s="1"/>
  <c r="M22" i="39"/>
  <c r="N27" i="39" s="1"/>
  <c r="M21" i="26"/>
  <c r="O44" i="45"/>
  <c r="T16" i="44"/>
  <c r="P44" i="45"/>
  <c r="K16" i="32"/>
  <c r="K18" i="32" s="1"/>
  <c r="K28" i="32" s="1"/>
  <c r="K14" i="1"/>
  <c r="G22" i="6"/>
  <c r="H16" i="5"/>
  <c r="H18" i="5" s="1"/>
  <c r="H26" i="5" s="1"/>
  <c r="G30" i="5" s="1"/>
  <c r="H31" i="5" s="1"/>
  <c r="M13" i="14"/>
  <c r="D18" i="15" l="1"/>
  <c r="E5" i="21"/>
  <c r="E14" i="21" s="1"/>
  <c r="E22" i="21" s="1"/>
  <c r="E26" i="21" s="1"/>
  <c r="H26" i="8"/>
  <c r="G30" i="8" s="1"/>
  <c r="H31" i="8" s="1"/>
  <c r="N58" i="25"/>
  <c r="M10" i="39"/>
  <c r="J10" i="35"/>
  <c r="M20" i="26"/>
  <c r="D9" i="25"/>
  <c r="G9" i="32"/>
  <c r="N16" i="35"/>
  <c r="N17" i="35"/>
  <c r="N19" i="35" s="1"/>
  <c r="N29" i="35" s="1"/>
  <c r="D23" i="39"/>
  <c r="Q37" i="40"/>
  <c r="Q39" i="40"/>
  <c r="E29" i="30"/>
  <c r="K31" i="30"/>
  <c r="C19" i="36"/>
  <c r="C30" i="36" s="1"/>
  <c r="C34" i="36" s="1"/>
  <c r="C5" i="40" s="1"/>
  <c r="C26" i="40" s="1"/>
  <c r="C35" i="40" s="1"/>
  <c r="C39" i="40" s="1"/>
  <c r="H15" i="25"/>
  <c r="H16" i="25"/>
  <c r="H18" i="25" s="1"/>
  <c r="H26" i="25" s="1"/>
  <c r="E14" i="1"/>
  <c r="D10" i="35"/>
  <c r="G10" i="39" s="1"/>
  <c r="W17" i="44"/>
  <c r="W19" i="44" s="1"/>
  <c r="W30" i="44" s="1"/>
  <c r="G15" i="1"/>
  <c r="G17" i="1" s="1"/>
  <c r="G25" i="1" s="1"/>
  <c r="F29" i="1" s="1"/>
  <c r="Q16" i="39"/>
  <c r="H63" i="8"/>
  <c r="J17" i="21"/>
  <c r="J22" i="21" s="1"/>
  <c r="I22" i="18"/>
  <c r="H24" i="18" s="1"/>
  <c r="I21" i="4"/>
  <c r="D9" i="20"/>
  <c r="E10" i="20" s="1"/>
  <c r="R19" i="40"/>
  <c r="R30" i="40"/>
  <c r="P27" i="36"/>
  <c r="L40" i="45"/>
  <c r="L44" i="45" s="1"/>
  <c r="O30" i="36"/>
  <c r="K25" i="26"/>
  <c r="K29" i="26" s="1"/>
  <c r="J5" i="30" s="1"/>
  <c r="D50" i="49"/>
  <c r="D57" i="49" s="1"/>
  <c r="Z17" i="44"/>
  <c r="Z19" i="44" s="1"/>
  <c r="Z30" i="44" s="1"/>
  <c r="Y34" i="44" s="1"/>
  <c r="Z35" i="44" s="1"/>
  <c r="H45" i="8"/>
  <c r="W16" i="39"/>
  <c r="J21" i="30"/>
  <c r="M21" i="30" s="1"/>
  <c r="N15" i="32"/>
  <c r="E21" i="4"/>
  <c r="L17" i="14"/>
  <c r="H53" i="16"/>
  <c r="D22" i="16" s="1"/>
  <c r="E24" i="16" s="1"/>
  <c r="I27" i="30"/>
  <c r="I31" i="30" s="1"/>
  <c r="E16" i="32"/>
  <c r="E18" i="32" s="1"/>
  <c r="T29" i="35"/>
  <c r="S33" i="35" s="1"/>
  <c r="T34" i="35" s="1"/>
  <c r="M35" i="40"/>
  <c r="M39" i="40" s="1"/>
  <c r="E16" i="5"/>
  <c r="E18" i="5" s="1"/>
  <c r="E26" i="5" s="1"/>
  <c r="D30" i="5" s="1"/>
  <c r="K43" i="20"/>
  <c r="E24" i="8"/>
  <c r="K16" i="25"/>
  <c r="K18" i="25" s="1"/>
  <c r="K26" i="25" s="1"/>
  <c r="G22" i="18"/>
  <c r="G26" i="18" s="1"/>
  <c r="G5" i="21" s="1"/>
  <c r="G14" i="21" s="1"/>
  <c r="G22" i="21" s="1"/>
  <c r="G26" i="21" s="1"/>
  <c r="D74" i="51"/>
  <c r="W17" i="52"/>
  <c r="W19" i="52" s="1"/>
  <c r="W30" i="52" s="1"/>
  <c r="M53" i="51"/>
  <c r="W16" i="52"/>
  <c r="AC17" i="52"/>
  <c r="AC19" i="52" s="1"/>
  <c r="AC30" i="52" s="1"/>
  <c r="AB34" i="52" s="1"/>
  <c r="AC35" i="52" s="1"/>
  <c r="N11" i="52"/>
  <c r="N17" i="52" s="1"/>
  <c r="N19" i="52" s="1"/>
  <c r="N30" i="52" s="1"/>
  <c r="B6" i="18"/>
  <c r="B7" i="18" s="1"/>
  <c r="B8" i="18" s="1"/>
  <c r="B9" i="18" s="1"/>
  <c r="B10" i="18" s="1"/>
  <c r="B11" i="18" s="1"/>
  <c r="B12" i="18" s="1"/>
  <c r="B14" i="18" s="1"/>
  <c r="C5" i="49"/>
  <c r="C35" i="49" s="1"/>
  <c r="C42" i="49" s="1"/>
  <c r="C46" i="49" s="1"/>
  <c r="C5" i="51" s="1"/>
  <c r="C5" i="45"/>
  <c r="C34" i="45" s="1"/>
  <c r="C40" i="45" s="1"/>
  <c r="C44" i="45" s="1"/>
  <c r="E15" i="16"/>
  <c r="E16" i="16"/>
  <c r="E18" i="16" s="1"/>
  <c r="E26" i="16" s="1"/>
  <c r="H22" i="14"/>
  <c r="F5" i="49"/>
  <c r="F35" i="49" s="1"/>
  <c r="F42" i="49" s="1"/>
  <c r="F46" i="49" s="1"/>
  <c r="F5" i="45"/>
  <c r="F34" i="45" s="1"/>
  <c r="F40" i="45" s="1"/>
  <c r="F44" i="45" s="1"/>
  <c r="H24" i="21"/>
  <c r="Q16" i="25"/>
  <c r="Q18" i="25" s="1"/>
  <c r="Q26" i="25" s="1"/>
  <c r="P31" i="25" s="1"/>
  <c r="Q32" i="25" s="1"/>
  <c r="Q15" i="25"/>
  <c r="K17" i="44"/>
  <c r="K19" i="44" s="1"/>
  <c r="K30" i="44" s="1"/>
  <c r="K16" i="44"/>
  <c r="E15" i="8"/>
  <c r="E16" i="8"/>
  <c r="E18" i="8" s="1"/>
  <c r="H22" i="15"/>
  <c r="E22" i="10"/>
  <c r="Q15" i="32"/>
  <c r="Q16" i="32"/>
  <c r="Q18" i="32" s="1"/>
  <c r="Q28" i="32" s="1"/>
  <c r="P32" i="32" s="1"/>
  <c r="Q33" i="32" s="1"/>
  <c r="K15" i="32"/>
  <c r="C29" i="12"/>
  <c r="H54" i="11"/>
  <c r="I15" i="1"/>
  <c r="I17" i="1" s="1"/>
  <c r="I25" i="1" s="1"/>
  <c r="H29" i="1" s="1"/>
  <c r="I30" i="1" s="1"/>
  <c r="N16" i="16"/>
  <c r="N18" i="16" s="1"/>
  <c r="N26" i="16" s="1"/>
  <c r="M31" i="16" s="1"/>
  <c r="N32" i="16" s="1"/>
  <c r="N26" i="20"/>
  <c r="M31" i="20" s="1"/>
  <c r="N32" i="20" s="1"/>
  <c r="H15" i="20"/>
  <c r="K15" i="25"/>
  <c r="I5" i="49"/>
  <c r="I35" i="49" s="1"/>
  <c r="I42" i="49" s="1"/>
  <c r="I46" i="49" s="1"/>
  <c r="I5" i="45"/>
  <c r="I34" i="45" s="1"/>
  <c r="I40" i="45" s="1"/>
  <c r="I44" i="45" s="1"/>
  <c r="E22" i="15"/>
  <c r="C33" i="17"/>
  <c r="E24" i="25"/>
  <c r="B10" i="36"/>
  <c r="P10" i="36" s="1"/>
  <c r="D19" i="36"/>
  <c r="D30" i="36" s="1"/>
  <c r="Q16" i="44"/>
  <c r="C17" i="26"/>
  <c r="C25" i="26" s="1"/>
  <c r="C29" i="26" s="1"/>
  <c r="N15" i="20"/>
  <c r="E5" i="49"/>
  <c r="E35" i="49" s="1"/>
  <c r="E42" i="49" s="1"/>
  <c r="E46" i="49" s="1"/>
  <c r="E5" i="45"/>
  <c r="E34" i="45" s="1"/>
  <c r="E40" i="45" s="1"/>
  <c r="E44" i="45" s="1"/>
  <c r="L17" i="21"/>
  <c r="M5" i="36"/>
  <c r="Z17" i="52"/>
  <c r="Z19" i="52" s="1"/>
  <c r="Z30" i="52" s="1"/>
  <c r="Z16" i="52"/>
  <c r="T16" i="52"/>
  <c r="T17" i="52"/>
  <c r="T19" i="52" s="1"/>
  <c r="T30" i="52" s="1"/>
  <c r="N30" i="36"/>
  <c r="P46" i="49"/>
  <c r="K44" i="49"/>
  <c r="K46" i="49" s="1"/>
  <c r="D23" i="44"/>
  <c r="K40" i="45"/>
  <c r="L44" i="49"/>
  <c r="D22" i="44"/>
  <c r="O42" i="49"/>
  <c r="H53" i="51"/>
  <c r="I51" i="51"/>
  <c r="I55" i="51" s="1"/>
  <c r="L55" i="51"/>
  <c r="O5" i="40" l="1"/>
  <c r="N5" i="45"/>
  <c r="E26" i="8"/>
  <c r="D29" i="8" s="1"/>
  <c r="O32" i="36"/>
  <c r="O34" i="36" s="1"/>
  <c r="J16" i="4"/>
  <c r="G30" i="1"/>
  <c r="J18" i="30"/>
  <c r="N5" i="30"/>
  <c r="I5" i="26"/>
  <c r="I17" i="26" s="1"/>
  <c r="E22" i="19"/>
  <c r="E31" i="5"/>
  <c r="D17" i="6"/>
  <c r="E19" i="6" s="1"/>
  <c r="E22" i="6" s="1"/>
  <c r="D17" i="7"/>
  <c r="D5" i="14" s="1"/>
  <c r="D13" i="14" s="1"/>
  <c r="D19" i="14" s="1"/>
  <c r="D5" i="18" s="1"/>
  <c r="D14" i="18" s="1"/>
  <c r="D22" i="18" s="1"/>
  <c r="D26" i="18" s="1"/>
  <c r="G17" i="10"/>
  <c r="H20" i="10" s="1"/>
  <c r="J17" i="15"/>
  <c r="K20" i="15" s="1"/>
  <c r="K23" i="15" s="1"/>
  <c r="E16" i="20"/>
  <c r="E18" i="20" s="1"/>
  <c r="E26" i="20" s="1"/>
  <c r="E15" i="20"/>
  <c r="D18" i="19"/>
  <c r="G5" i="26"/>
  <c r="G17" i="26" s="1"/>
  <c r="G25" i="26" s="1"/>
  <c r="G29" i="26" s="1"/>
  <c r="K5" i="51"/>
  <c r="N5" i="49"/>
  <c r="H22" i="10"/>
  <c r="K22" i="15"/>
  <c r="E21" i="7"/>
  <c r="K43" i="51"/>
  <c r="D47" i="51" s="1"/>
  <c r="M55" i="51"/>
  <c r="D23" i="52"/>
  <c r="H55" i="51"/>
  <c r="D6" i="52"/>
  <c r="N16" i="52"/>
  <c r="K42" i="45"/>
  <c r="K44" i="45" s="1"/>
  <c r="N32" i="36"/>
  <c r="N34" i="36" s="1"/>
  <c r="O5" i="51"/>
  <c r="N34" i="45"/>
  <c r="R5" i="45"/>
  <c r="C43" i="51"/>
  <c r="C51" i="51" s="1"/>
  <c r="C55" i="51" s="1"/>
  <c r="D10" i="44"/>
  <c r="G10" i="52"/>
  <c r="L46" i="49"/>
  <c r="M19" i="36"/>
  <c r="Q5" i="36"/>
  <c r="G10" i="15"/>
  <c r="H12" i="15" s="1"/>
  <c r="H13" i="15" s="1"/>
  <c r="D10" i="10"/>
  <c r="E12" i="10" s="1"/>
  <c r="E13" i="10" s="1"/>
  <c r="B15" i="14"/>
  <c r="O44" i="49"/>
  <c r="O46" i="49" s="1"/>
  <c r="O26" i="40"/>
  <c r="S5" i="40"/>
  <c r="S11" i="53"/>
  <c r="M11" i="38"/>
  <c r="B5" i="30"/>
  <c r="P11" i="43"/>
  <c r="M11" i="42"/>
  <c r="J11" i="34"/>
  <c r="G11" i="33"/>
  <c r="D11" i="24"/>
  <c r="G6" i="52"/>
  <c r="D6" i="44"/>
  <c r="N35" i="49"/>
  <c r="R5" i="49"/>
  <c r="H56" i="11"/>
  <c r="H41" i="11"/>
  <c r="H43" i="11" s="1"/>
  <c r="E31" i="8"/>
  <c r="D18" i="7"/>
  <c r="B22" i="18"/>
  <c r="J27" i="30" l="1"/>
  <c r="J31" i="30" s="1"/>
  <c r="D24" i="32"/>
  <c r="E26" i="32" s="1"/>
  <c r="E28" i="32" s="1"/>
  <c r="D32" i="32" s="1"/>
  <c r="E33" i="32" s="1"/>
  <c r="H23" i="10"/>
  <c r="D5" i="21"/>
  <c r="D14" i="21" s="1"/>
  <c r="D22" i="21" s="1"/>
  <c r="D26" i="21" s="1"/>
  <c r="D17" i="15"/>
  <c r="I25" i="26"/>
  <c r="M6" i="39"/>
  <c r="N11" i="39" s="1"/>
  <c r="G6" i="32"/>
  <c r="H10" i="32" s="1"/>
  <c r="D6" i="25"/>
  <c r="E10" i="25" s="1"/>
  <c r="J6" i="35"/>
  <c r="K11" i="35" s="1"/>
  <c r="K18" i="4"/>
  <c r="K21" i="4" s="1"/>
  <c r="L16" i="4"/>
  <c r="M18" i="4" s="1"/>
  <c r="M21" i="4" s="1"/>
  <c r="G18" i="33"/>
  <c r="M18" i="42"/>
  <c r="D18" i="24"/>
  <c r="M18" i="38"/>
  <c r="S18" i="53"/>
  <c r="J18" i="34"/>
  <c r="F5" i="30"/>
  <c r="F18" i="30" s="1"/>
  <c r="F27" i="30" s="1"/>
  <c r="F31" i="30" s="1"/>
  <c r="P18" i="43"/>
  <c r="K47" i="51"/>
  <c r="N47" i="51"/>
  <c r="D9" i="52"/>
  <c r="E11" i="52" s="1"/>
  <c r="D26" i="52"/>
  <c r="E28" i="52" s="1"/>
  <c r="B18" i="30"/>
  <c r="B26" i="18"/>
  <c r="D22" i="11"/>
  <c r="E24" i="11" s="1"/>
  <c r="D9" i="11"/>
  <c r="N38" i="49"/>
  <c r="N42" i="49"/>
  <c r="D38" i="49"/>
  <c r="B19" i="14"/>
  <c r="L15" i="14"/>
  <c r="M30" i="36"/>
  <c r="E23" i="36"/>
  <c r="E19" i="7"/>
  <c r="E22" i="7" s="1"/>
  <c r="F5" i="14"/>
  <c r="L29" i="40"/>
  <c r="O35" i="40"/>
  <c r="E29" i="40"/>
  <c r="D25" i="39"/>
  <c r="E27" i="39" s="1"/>
  <c r="D26" i="44"/>
  <c r="E28" i="44" s="1"/>
  <c r="G26" i="52"/>
  <c r="H28" i="52" s="1"/>
  <c r="N37" i="45"/>
  <c r="N40" i="45" s="1"/>
  <c r="D37" i="45"/>
  <c r="H15" i="32" l="1"/>
  <c r="H16" i="32"/>
  <c r="H18" i="32" s="1"/>
  <c r="H28" i="32" s="1"/>
  <c r="G5" i="36"/>
  <c r="G19" i="36" s="1"/>
  <c r="G30" i="36" s="1"/>
  <c r="G34" i="36" s="1"/>
  <c r="D18" i="33"/>
  <c r="N16" i="39"/>
  <c r="N17" i="39"/>
  <c r="N19" i="39" s="1"/>
  <c r="N29" i="39" s="1"/>
  <c r="K16" i="35"/>
  <c r="K17" i="35"/>
  <c r="K19" i="35" s="1"/>
  <c r="K29" i="35" s="1"/>
  <c r="F27" i="26"/>
  <c r="I29" i="26"/>
  <c r="F5" i="26"/>
  <c r="F17" i="26" s="1"/>
  <c r="F25" i="26" s="1"/>
  <c r="F29" i="26" s="1"/>
  <c r="D17" i="19"/>
  <c r="Q37" i="45"/>
  <c r="Q38" i="49"/>
  <c r="E15" i="25"/>
  <c r="E16" i="25"/>
  <c r="E18" i="25" s="1"/>
  <c r="E26" i="25" s="1"/>
  <c r="K53" i="51"/>
  <c r="N42" i="45"/>
  <c r="N44" i="45"/>
  <c r="R29" i="40"/>
  <c r="M32" i="36"/>
  <c r="D25" i="35" s="1"/>
  <c r="G9" i="16"/>
  <c r="J9" i="20"/>
  <c r="M9" i="25"/>
  <c r="E10" i="11"/>
  <c r="O37" i="40"/>
  <c r="O39" i="40"/>
  <c r="D11" i="33"/>
  <c r="B27" i="30"/>
  <c r="L35" i="40"/>
  <c r="D9" i="39"/>
  <c r="E11" i="39" s="1"/>
  <c r="L5" i="14"/>
  <c r="F13" i="14"/>
  <c r="F19" i="14" s="1"/>
  <c r="B22" i="14"/>
  <c r="L22" i="14" s="1"/>
  <c r="C5" i="18"/>
  <c r="N44" i="49"/>
  <c r="B5" i="21"/>
  <c r="D11" i="15"/>
  <c r="J23" i="36"/>
  <c r="D9" i="44"/>
  <c r="E11" i="44" s="1"/>
  <c r="D46" i="44"/>
  <c r="G9" i="52"/>
  <c r="H11" i="52" s="1"/>
  <c r="M17" i="38" l="1"/>
  <c r="N20" i="38" s="1"/>
  <c r="N23" i="38" s="1"/>
  <c r="P17" i="43"/>
  <c r="Q20" i="43" s="1"/>
  <c r="Q23" i="43" s="1"/>
  <c r="G17" i="33"/>
  <c r="H20" i="33" s="1"/>
  <c r="H23" i="33" s="1"/>
  <c r="M17" i="42"/>
  <c r="N19" i="42" s="1"/>
  <c r="N22" i="42" s="1"/>
  <c r="J17" i="34"/>
  <c r="K20" i="34" s="1"/>
  <c r="K23" i="34" s="1"/>
  <c r="E5" i="30"/>
  <c r="E18" i="30" s="1"/>
  <c r="E27" i="30" s="1"/>
  <c r="E31" i="30" s="1"/>
  <c r="S17" i="53"/>
  <c r="T20" i="53" s="1"/>
  <c r="T23" i="53" s="1"/>
  <c r="D17" i="24"/>
  <c r="E20" i="24" s="1"/>
  <c r="E23" i="24" s="1"/>
  <c r="D18" i="34"/>
  <c r="I5" i="40"/>
  <c r="I26" i="40" s="1"/>
  <c r="I35" i="40" s="1"/>
  <c r="I39" i="40" s="1"/>
  <c r="M18" i="43"/>
  <c r="P18" i="53"/>
  <c r="J18" i="42"/>
  <c r="G18" i="34"/>
  <c r="J18" i="38"/>
  <c r="K55" i="51"/>
  <c r="E53" i="51"/>
  <c r="E17" i="52"/>
  <c r="E19" i="52" s="1"/>
  <c r="E30" i="52" s="1"/>
  <c r="E16" i="52"/>
  <c r="J30" i="36"/>
  <c r="D9" i="35"/>
  <c r="C14" i="18"/>
  <c r="E17" i="39"/>
  <c r="E19" i="39" s="1"/>
  <c r="E29" i="39" s="1"/>
  <c r="D33" i="39" s="1"/>
  <c r="E34" i="39" s="1"/>
  <c r="E16" i="39"/>
  <c r="P11" i="53"/>
  <c r="J11" i="38"/>
  <c r="J11" i="42"/>
  <c r="G11" i="34"/>
  <c r="M11" i="43"/>
  <c r="N10" i="25"/>
  <c r="M22" i="25"/>
  <c r="N24" i="25" s="1"/>
  <c r="G25" i="39"/>
  <c r="H27" i="39" s="1"/>
  <c r="E27" i="35"/>
  <c r="G44" i="49"/>
  <c r="Q44" i="49"/>
  <c r="L37" i="40"/>
  <c r="L39" i="40" s="1"/>
  <c r="K10" i="20"/>
  <c r="J22" i="20"/>
  <c r="K24" i="20" s="1"/>
  <c r="E17" i="44"/>
  <c r="E19" i="44" s="1"/>
  <c r="E30" i="44" s="1"/>
  <c r="D34" i="44" s="1"/>
  <c r="E35" i="44" s="1"/>
  <c r="E16" i="44"/>
  <c r="B6" i="21"/>
  <c r="B7" i="21" s="1"/>
  <c r="B8" i="21" s="1"/>
  <c r="B9" i="21" s="1"/>
  <c r="B10" i="21" s="1"/>
  <c r="B11" i="21" s="1"/>
  <c r="B12" i="21" s="1"/>
  <c r="B14" i="21" s="1"/>
  <c r="N46" i="49"/>
  <c r="F5" i="18"/>
  <c r="F14" i="18" s="1"/>
  <c r="F22" i="18" s="1"/>
  <c r="H10" i="16"/>
  <c r="G22" i="16"/>
  <c r="H24" i="16" s="1"/>
  <c r="H17" i="52"/>
  <c r="H19" i="52" s="1"/>
  <c r="H30" i="52" s="1"/>
  <c r="G34" i="52" s="1"/>
  <c r="H35" i="52" s="1"/>
  <c r="H16" i="52"/>
  <c r="P23" i="36"/>
  <c r="N53" i="51"/>
  <c r="L19" i="14"/>
  <c r="B31" i="30"/>
  <c r="E16" i="11"/>
  <c r="E18" i="11" s="1"/>
  <c r="E26" i="11" s="1"/>
  <c r="E15" i="11"/>
  <c r="M34" i="36"/>
  <c r="G42" i="45"/>
  <c r="Q42" i="45"/>
  <c r="D18" i="38" l="1"/>
  <c r="H5" i="45"/>
  <c r="H34" i="45" s="1"/>
  <c r="H40" i="45" s="1"/>
  <c r="H44" i="45" s="1"/>
  <c r="D18" i="42"/>
  <c r="H5" i="49"/>
  <c r="D17" i="33"/>
  <c r="F5" i="36"/>
  <c r="F19" i="36" s="1"/>
  <c r="F30" i="36" s="1"/>
  <c r="J18" i="43"/>
  <c r="G18" i="42"/>
  <c r="G18" i="38"/>
  <c r="M18" i="53"/>
  <c r="D34" i="52"/>
  <c r="E35" i="52" s="1"/>
  <c r="N16" i="25"/>
  <c r="N18" i="25" s="1"/>
  <c r="N26" i="25" s="1"/>
  <c r="N15" i="25"/>
  <c r="L5" i="18"/>
  <c r="H37" i="40"/>
  <c r="R37" i="40"/>
  <c r="C22" i="18"/>
  <c r="L14" i="18"/>
  <c r="B5" i="36"/>
  <c r="H15" i="16"/>
  <c r="H16" i="16"/>
  <c r="H18" i="16" s="1"/>
  <c r="H26" i="16" s="1"/>
  <c r="B22" i="21"/>
  <c r="K16" i="20"/>
  <c r="K18" i="20" s="1"/>
  <c r="K26" i="20" s="1"/>
  <c r="K15" i="20"/>
  <c r="G9" i="39"/>
  <c r="H11" i="39" s="1"/>
  <c r="E11" i="35"/>
  <c r="D29" i="11"/>
  <c r="E32" i="11" s="1"/>
  <c r="D19" i="10"/>
  <c r="E20" i="10" s="1"/>
  <c r="E23" i="10" s="1"/>
  <c r="G19" i="15"/>
  <c r="H20" i="15" s="1"/>
  <c r="H23" i="15" s="1"/>
  <c r="J32" i="36"/>
  <c r="F32" i="36" s="1"/>
  <c r="F34" i="36" s="1"/>
  <c r="J34" i="36"/>
  <c r="D57" i="44" l="1"/>
  <c r="D67" i="44" s="1"/>
  <c r="H35" i="49"/>
  <c r="H42" i="49" s="1"/>
  <c r="H46" i="49" s="1"/>
  <c r="P17" i="53"/>
  <c r="Q20" i="53" s="1"/>
  <c r="Q23" i="53" s="1"/>
  <c r="G17" i="34"/>
  <c r="H20" i="34" s="1"/>
  <c r="H23" i="34" s="1"/>
  <c r="M17" i="43"/>
  <c r="N20" i="43" s="1"/>
  <c r="N23" i="43" s="1"/>
  <c r="J17" i="42"/>
  <c r="K19" i="42" s="1"/>
  <c r="K22" i="42" s="1"/>
  <c r="E20" i="33"/>
  <c r="E23" i="33" s="1"/>
  <c r="J17" i="38"/>
  <c r="K20" i="38" s="1"/>
  <c r="K23" i="38" s="1"/>
  <c r="H16" i="39"/>
  <c r="H17" i="39"/>
  <c r="H19" i="39" s="1"/>
  <c r="H29" i="39" s="1"/>
  <c r="G33" i="39" s="1"/>
  <c r="H34" i="39" s="1"/>
  <c r="B26" i="21"/>
  <c r="B19" i="36"/>
  <c r="C26" i="18"/>
  <c r="F24" i="18"/>
  <c r="L22" i="18"/>
  <c r="H5" i="40"/>
  <c r="H26" i="40" s="1"/>
  <c r="H35" i="40" s="1"/>
  <c r="H39" i="40" s="1"/>
  <c r="D17" i="34"/>
  <c r="E17" i="35"/>
  <c r="E19" i="35" s="1"/>
  <c r="E29" i="35" s="1"/>
  <c r="D33" i="35" s="1"/>
  <c r="E34" i="35" s="1"/>
  <c r="E16" i="35"/>
  <c r="F5" i="51" l="1"/>
  <c r="G18" i="53"/>
  <c r="D18" i="43"/>
  <c r="M17" i="53"/>
  <c r="N20" i="53" s="1"/>
  <c r="N23" i="53" s="1"/>
  <c r="E20" i="34"/>
  <c r="E23" i="34" s="1"/>
  <c r="G17" i="38"/>
  <c r="H20" i="38" s="1"/>
  <c r="H23" i="38" s="1"/>
  <c r="G17" i="42"/>
  <c r="H19" i="42" s="1"/>
  <c r="H22" i="42" s="1"/>
  <c r="J17" i="43"/>
  <c r="K20" i="43" s="1"/>
  <c r="K23" i="43" s="1"/>
  <c r="D10" i="15"/>
  <c r="E12" i="15" s="1"/>
  <c r="E13" i="15" s="1"/>
  <c r="C5" i="21"/>
  <c r="D11" i="19"/>
  <c r="B5" i="26"/>
  <c r="G5" i="49"/>
  <c r="G35" i="49" s="1"/>
  <c r="G42" i="49" s="1"/>
  <c r="G46" i="49" s="1"/>
  <c r="G5" i="45"/>
  <c r="G34" i="45" s="1"/>
  <c r="G40" i="45" s="1"/>
  <c r="G44" i="45" s="1"/>
  <c r="D53" i="45" s="1"/>
  <c r="B30" i="36"/>
  <c r="L24" i="18"/>
  <c r="F26" i="18"/>
  <c r="L26" i="18" s="1"/>
  <c r="C58" i="51" l="1"/>
  <c r="E59" i="52"/>
  <c r="E67" i="52" s="1"/>
  <c r="F43" i="51"/>
  <c r="F51" i="51" s="1"/>
  <c r="F55" i="51" s="1"/>
  <c r="B17" i="26"/>
  <c r="C14" i="21"/>
  <c r="G17" i="53"/>
  <c r="H20" i="53" s="1"/>
  <c r="H23" i="53" s="1"/>
  <c r="D17" i="43"/>
  <c r="E20" i="43" s="1"/>
  <c r="E23" i="43" s="1"/>
  <c r="E5" i="51"/>
  <c r="E43" i="51" s="1"/>
  <c r="E51" i="51" s="1"/>
  <c r="D59" i="49"/>
  <c r="B34" i="36"/>
  <c r="D11" i="34"/>
  <c r="D19" i="15"/>
  <c r="E20" i="15" s="1"/>
  <c r="E23" i="15" s="1"/>
  <c r="F5" i="21"/>
  <c r="F14" i="21" s="1"/>
  <c r="F22" i="21" s="1"/>
  <c r="D18" i="53" l="1"/>
  <c r="D18" i="54"/>
  <c r="L5" i="21"/>
  <c r="E55" i="51"/>
  <c r="C22" i="21"/>
  <c r="L14" i="21"/>
  <c r="M11" i="53"/>
  <c r="G11" i="38"/>
  <c r="G11" i="42"/>
  <c r="J11" i="43"/>
  <c r="B5" i="40"/>
  <c r="B25" i="26"/>
  <c r="C68" i="51" l="1"/>
  <c r="D17" i="54"/>
  <c r="E20" i="54" s="1"/>
  <c r="E23" i="54" s="1"/>
  <c r="D17" i="53"/>
  <c r="E20" i="53" s="1"/>
  <c r="E23" i="53" s="1"/>
  <c r="B29" i="26"/>
  <c r="B26" i="40"/>
  <c r="C26" i="21"/>
  <c r="F24" i="21"/>
  <c r="L22" i="21"/>
  <c r="L24" i="21" l="1"/>
  <c r="F26" i="21"/>
  <c r="B35" i="40"/>
  <c r="D10" i="19"/>
  <c r="E12" i="19" s="1"/>
  <c r="E13" i="19" s="1"/>
  <c r="E5" i="26"/>
  <c r="L26" i="21"/>
  <c r="B39" i="40" l="1"/>
  <c r="H5" i="26"/>
  <c r="H17" i="26" s="1"/>
  <c r="D19" i="19"/>
  <c r="E20" i="19" s="1"/>
  <c r="E23" i="19" s="1"/>
  <c r="E17" i="26"/>
  <c r="B5" i="49" l="1"/>
  <c r="B5" i="45"/>
  <c r="D11" i="38"/>
  <c r="D11" i="42"/>
  <c r="M5" i="26"/>
  <c r="E25" i="26"/>
  <c r="M17" i="26"/>
  <c r="B34" i="45" l="1"/>
  <c r="E29" i="26"/>
  <c r="M25" i="26"/>
  <c r="B35" i="49"/>
  <c r="S10" i="53" l="1"/>
  <c r="T12" i="53" s="1"/>
  <c r="T13" i="53" s="1"/>
  <c r="M10" i="38"/>
  <c r="N12" i="38" s="1"/>
  <c r="N13" i="38" s="1"/>
  <c r="G10" i="33"/>
  <c r="H12" i="33" s="1"/>
  <c r="H13" i="33" s="1"/>
  <c r="D5" i="30"/>
  <c r="J10" i="34"/>
  <c r="K12" i="34" s="1"/>
  <c r="K13" i="34" s="1"/>
  <c r="M10" i="42"/>
  <c r="N12" i="42" s="1"/>
  <c r="N13" i="42" s="1"/>
  <c r="P10" i="43"/>
  <c r="Q12" i="43" s="1"/>
  <c r="Q13" i="43" s="1"/>
  <c r="D10" i="24"/>
  <c r="E12" i="24" s="1"/>
  <c r="E13" i="24" s="1"/>
  <c r="M29" i="26"/>
  <c r="B42" i="49"/>
  <c r="B40" i="45"/>
  <c r="B44" i="45" l="1"/>
  <c r="D18" i="30"/>
  <c r="M5" i="30"/>
  <c r="B46" i="49"/>
  <c r="D27" i="30" l="1"/>
  <c r="M18" i="30"/>
  <c r="G11" i="53"/>
  <c r="D11" i="43"/>
  <c r="B5" i="51"/>
  <c r="B43" i="51" l="1"/>
  <c r="B51" i="51" s="1"/>
  <c r="D31" i="30"/>
  <c r="M27" i="30"/>
  <c r="B55" i="51" l="1"/>
  <c r="D10" i="33"/>
  <c r="E5" i="36"/>
  <c r="M31" i="30"/>
  <c r="D11" i="53" l="1"/>
  <c r="D11" i="54"/>
  <c r="P10" i="53"/>
  <c r="Q12" i="53" s="1"/>
  <c r="Q13" i="53" s="1"/>
  <c r="M10" i="43"/>
  <c r="N12" i="43" s="1"/>
  <c r="N13" i="43" s="1"/>
  <c r="J10" i="42"/>
  <c r="K12" i="42" s="1"/>
  <c r="K13" i="42" s="1"/>
  <c r="G10" i="34"/>
  <c r="H12" i="34" s="1"/>
  <c r="H13" i="34" s="1"/>
  <c r="J10" i="38"/>
  <c r="K12" i="38" s="1"/>
  <c r="K13" i="38" s="1"/>
  <c r="E12" i="33"/>
  <c r="E13" i="33" s="1"/>
  <c r="E19" i="36"/>
  <c r="P5" i="36"/>
  <c r="E30" i="36" l="1"/>
  <c r="P19" i="36"/>
  <c r="E34" i="36" l="1"/>
  <c r="D10" i="34"/>
  <c r="P30" i="36"/>
  <c r="M10" i="53" l="1"/>
  <c r="N12" i="53" s="1"/>
  <c r="N13" i="53" s="1"/>
  <c r="J10" i="43"/>
  <c r="K12" i="43" s="1"/>
  <c r="K13" i="43" s="1"/>
  <c r="G10" i="42"/>
  <c r="H12" i="42" s="1"/>
  <c r="H13" i="42" s="1"/>
  <c r="G10" i="38"/>
  <c r="H12" i="38" s="1"/>
  <c r="H13" i="38" s="1"/>
  <c r="E12" i="34"/>
  <c r="E13" i="34" s="1"/>
  <c r="E5" i="40"/>
  <c r="P34" i="36"/>
  <c r="E26" i="40" l="1"/>
  <c r="R5" i="40"/>
  <c r="E35" i="40" l="1"/>
  <c r="R26" i="40"/>
  <c r="E39" i="40" l="1"/>
  <c r="R35" i="40"/>
  <c r="D5" i="49" l="1"/>
  <c r="D10" i="38"/>
  <c r="E12" i="38" s="1"/>
  <c r="E13" i="38" s="1"/>
  <c r="D17" i="38" s="1"/>
  <c r="E20" i="38" s="1"/>
  <c r="E23" i="38" s="1"/>
  <c r="D10" i="42"/>
  <c r="E12" i="42" s="1"/>
  <c r="E13" i="42" s="1"/>
  <c r="D17" i="42" s="1"/>
  <c r="E19" i="42" s="1"/>
  <c r="E22" i="42" s="1"/>
  <c r="D5" i="45"/>
  <c r="R39" i="40"/>
  <c r="D34" i="45" l="1"/>
  <c r="Q5" i="45"/>
  <c r="D35" i="49"/>
  <c r="Q5" i="49"/>
  <c r="D42" i="49" l="1"/>
  <c r="Q35" i="49"/>
  <c r="D40" i="45"/>
  <c r="Q34" i="45"/>
  <c r="D44" i="45" l="1"/>
  <c r="Q44" i="45" s="1"/>
  <c r="Q40" i="45"/>
  <c r="D46" i="49"/>
  <c r="Q42" i="49"/>
  <c r="G10" i="53" l="1"/>
  <c r="H12" i="53" s="1"/>
  <c r="H13" i="53" s="1"/>
  <c r="D10" i="43"/>
  <c r="E12" i="43" s="1"/>
  <c r="E13" i="43" s="1"/>
  <c r="D5" i="51"/>
  <c r="N5" i="51" s="1"/>
  <c r="Q46" i="49"/>
  <c r="D43" i="51" l="1"/>
  <c r="N43" i="51"/>
  <c r="D51" i="51" l="1"/>
  <c r="N51" i="51" s="1"/>
  <c r="D55" i="51"/>
  <c r="D10" i="54" s="1"/>
  <c r="E12" i="54" s="1"/>
  <c r="E13" i="54" s="1"/>
  <c r="N55" i="51" l="1"/>
  <c r="D10" i="53"/>
  <c r="E12" i="53" s="1"/>
  <c r="E13" i="53" s="1"/>
  <c r="E29" i="53" s="1"/>
  <c r="D35" i="66"/>
  <c r="D50" i="66" s="1"/>
  <c r="D54" i="66" s="1"/>
  <c r="E53" i="65" l="1"/>
  <c r="E11" i="65"/>
  <c r="D10" i="64" l="1"/>
  <c r="D5" i="67"/>
  <c r="E12" i="64"/>
  <c r="E13" i="64" s="1"/>
  <c r="E22" i="64" s="1"/>
  <c r="E50" i="66"/>
  <c r="E16" i="65"/>
  <c r="E17" i="65"/>
  <c r="E19" i="65" s="1"/>
  <c r="E29" i="65" s="1"/>
  <c r="D42" i="67" l="1"/>
  <c r="D45" i="67" s="1"/>
  <c r="B57" i="67"/>
  <c r="B59" i="67" s="1"/>
  <c r="E54" i="66"/>
  <c r="E5" i="67"/>
  <c r="O35" i="66"/>
  <c r="D33" i="65"/>
  <c r="E34" i="65" s="1"/>
  <c r="E54" i="65"/>
  <c r="F54" i="66"/>
  <c r="D48" i="67" l="1"/>
  <c r="D10" i="69"/>
  <c r="E13" i="69" s="1"/>
  <c r="E49" i="68"/>
  <c r="E51" i="68" s="1"/>
  <c r="E45" i="67"/>
  <c r="E48" i="67" s="1"/>
  <c r="N48" i="67" l="1"/>
  <c r="N55" i="67"/>
  <c r="C24" i="37" l="1"/>
  <c r="D65" i="49"/>
  <c r="E65" i="49"/>
  <c r="B65" i="49"/>
</calcChain>
</file>

<file path=xl/sharedStrings.xml><?xml version="1.0" encoding="utf-8"?>
<sst xmlns="http://schemas.openxmlformats.org/spreadsheetml/2006/main" count="2966" uniqueCount="797">
  <si>
    <t>FONDSENWERVING</t>
  </si>
  <si>
    <t>Legaten, erfstellingen</t>
  </si>
  <si>
    <t>Lijfrenteschenkingen</t>
  </si>
  <si>
    <t>Totaal baten eigen fondsenwerving</t>
  </si>
  <si>
    <t>Directe verwervingskosten</t>
  </si>
  <si>
    <t>Uitvoeringskosten eigen organisatie</t>
  </si>
  <si>
    <t>Totaal kosten eigen fondsenwerving</t>
  </si>
  <si>
    <t>Resultaat beleggingen</t>
  </si>
  <si>
    <t>Resultaat eigen fondsenwerving</t>
  </si>
  <si>
    <t>Totaal beschikbaar voor doelstelling</t>
  </si>
  <si>
    <t>BESTEDINGEN</t>
  </si>
  <si>
    <t>Ontvangen schenkingen</t>
  </si>
  <si>
    <t>Toegekende giften</t>
  </si>
  <si>
    <t>Totaal besteed aan doelstelling</t>
  </si>
  <si>
    <t>(in % van baten eigen fondsenverwerving)</t>
  </si>
  <si>
    <t>RESULTAAT BOEKJAAR</t>
  </si>
  <si>
    <t>Verdeling resultaat conform Beleidsplan</t>
  </si>
  <si>
    <t>Vrij besteedbaar vermogen</t>
  </si>
  <si>
    <t>Begroting 2009</t>
  </si>
  <si>
    <t>Begroting 2010</t>
  </si>
  <si>
    <t>Begroting 2011</t>
  </si>
  <si>
    <t>ACTIVA</t>
  </si>
  <si>
    <t>PASSIVA</t>
  </si>
  <si>
    <t>Vaste activa</t>
  </si>
  <si>
    <t>Vlottende activa</t>
  </si>
  <si>
    <t>Beleggingen</t>
  </si>
  <si>
    <t>Vorderingen</t>
  </si>
  <si>
    <t>Liquide Middelen</t>
  </si>
  <si>
    <t>Continuiteitsvermogen</t>
  </si>
  <si>
    <t>Totaal eigen vermogen</t>
  </si>
  <si>
    <t>Schulden</t>
  </si>
  <si>
    <t>Opgesteld door</t>
  </si>
  <si>
    <t>Susan Wassenaar-Farr</t>
  </si>
  <si>
    <t>Getekend door voorzitter</t>
  </si>
  <si>
    <t>Vastgesteld door bestuur</t>
  </si>
  <si>
    <t>Balans per ultimo boekjaar (in €)  -  Prognose</t>
  </si>
  <si>
    <t>Staat van baten en lasten (in €)  -  Begroting</t>
  </si>
  <si>
    <t>Begroting 2012</t>
  </si>
  <si>
    <t>Begroting 2013</t>
  </si>
  <si>
    <r>
      <t xml:space="preserve">Overige </t>
    </r>
    <r>
      <rPr>
        <sz val="10"/>
        <rFont val="Arial"/>
        <family val="2"/>
      </rPr>
      <t>²</t>
    </r>
  </si>
  <si>
    <t xml:space="preserve">² dekking kosten administratie en communicatie door Susan Wassenaar-Farr </t>
  </si>
  <si>
    <t>2009</t>
  </si>
  <si>
    <t>p.m.</t>
  </si>
  <si>
    <t>Toelichting:</t>
  </si>
  <si>
    <t xml:space="preserve">Per 2 december 2009 heeft het bestuur van de stichting een notariele schenking aanvaard van S.C. Wassenaar-Farr. </t>
  </si>
  <si>
    <t>De schenking betreft een jaarlijke gift van € 7.500 gedurende vijf jaren, 2009 t/m 2013.</t>
  </si>
  <si>
    <t>Toegekende giften:</t>
  </si>
  <si>
    <t>Ontvangen schenkingen:</t>
  </si>
  <si>
    <t xml:space="preserve">In de bestuursvergadering van 2 december 2009 is besloten het voorstel van de Adviescommissie Goede Doelen te volgen. </t>
  </si>
  <si>
    <t>In 2009 wordt geschonken aan:</t>
  </si>
  <si>
    <t>Project Amigo, Mexico</t>
  </si>
  <si>
    <t>Bataviawerf</t>
  </si>
  <si>
    <t>Apo Island</t>
  </si>
  <si>
    <t>€</t>
  </si>
  <si>
    <t>Vereniging Vrienden van Amsterdamse Gevelstenen          €</t>
  </si>
  <si>
    <t>Totaal</t>
  </si>
  <si>
    <t>Sinds de oprichting van de stichting in december 2007 zijn de volgende kosten gedragen door familie Wassenaar:</t>
  </si>
  <si>
    <t>Overige</t>
  </si>
  <si>
    <t>Kosten schenkingsakte, 2009</t>
  </si>
  <si>
    <t>Kosten oprichtingsakte, 2007</t>
  </si>
  <si>
    <t>-  Jeugdsportfonds Utrecht</t>
  </si>
  <si>
    <t>-  Jeugdsportfonds Amsterdam</t>
  </si>
  <si>
    <t>-  Jeugdsportfonds Den Haag</t>
  </si>
  <si>
    <t>-  Colour4kids</t>
  </si>
  <si>
    <t>Goede Doelen 2007</t>
  </si>
  <si>
    <t>Goede Doelen 2008</t>
  </si>
  <si>
    <t>-  Stichting Heifer</t>
  </si>
  <si>
    <t>-  Stichting Leergeld den Haag</t>
  </si>
  <si>
    <t>Namens de stichting zijn in 2007 en 2008 door Hollandia Wassenaar bv goede doelen gesteund.</t>
  </si>
  <si>
    <t xml:space="preserve">Balans </t>
  </si>
  <si>
    <t>Liquide Middelen RABO 1555.54.042</t>
  </si>
  <si>
    <t>Bankkosten</t>
  </si>
  <si>
    <t>Susan Wassenaar-Farr, 12 mei 2010</t>
  </si>
  <si>
    <t>in €</t>
  </si>
  <si>
    <t>Staat van baten en lasten</t>
  </si>
  <si>
    <t>2010</t>
  </si>
  <si>
    <t>bijdrage Kamer van Koophandel</t>
  </si>
  <si>
    <t>voor Stichting Drie Wassende Manen</t>
  </si>
  <si>
    <t>Te vergoeden onkosten 2009</t>
  </si>
  <si>
    <t>door S.C. Wassenaar-Farr</t>
  </si>
  <si>
    <t>bankkosten</t>
  </si>
  <si>
    <t>Te vergoeden onkosten 2010</t>
  </si>
  <si>
    <t xml:space="preserve">In de bestuursvergadering van 23 november 2010 is besloten het voorstel van de Adviescommissie Goede Doelen te volgen. </t>
  </si>
  <si>
    <t>St. Leef je Droom</t>
  </si>
  <si>
    <t>Wild Entrust International</t>
  </si>
  <si>
    <t>US$</t>
  </si>
  <si>
    <t>=</t>
  </si>
  <si>
    <t>Bijdrage Kamer van Koophandel</t>
  </si>
  <si>
    <t>te vergoeden betalingen in $ door</t>
  </si>
  <si>
    <t>S.C. Wassenaar-Farr</t>
  </si>
  <si>
    <t>aan Wild Entrust International</t>
  </si>
  <si>
    <t>US$ 4000 =</t>
  </si>
  <si>
    <t>Door Stichting Drie Wassende Manen</t>
  </si>
  <si>
    <t>Bedrag is per $-credit card overgemaakt, omdat er door de begunstigde</t>
  </si>
  <si>
    <t>geen andere mogelijkheid geboden werd!</t>
  </si>
  <si>
    <t>Te verrekenen betalingen onderling, ultimo 2010</t>
  </si>
  <si>
    <t>Onkosten 2010 van St. Drie Wassende Manen</t>
  </si>
  <si>
    <t>betaald door S.C. Wassenaar-Farr</t>
  </si>
  <si>
    <t>Per saldo op 31-12-2010</t>
  </si>
  <si>
    <t>schuld van St. Drie Wassende Manen</t>
  </si>
  <si>
    <t>aan S.C. Wassenaar-Farr</t>
  </si>
  <si>
    <t>===============</t>
  </si>
  <si>
    <t>========================================</t>
  </si>
  <si>
    <t>Schuld ultimo 2010</t>
  </si>
  <si>
    <t>Aan S.C. Wassenaar-Farr, voor Wild Entrust International</t>
  </si>
  <si>
    <t>minus vergoeding van bankkosten 2009</t>
  </si>
  <si>
    <t>minus vergoeding van bankkosten 2010</t>
  </si>
  <si>
    <t>De administratieve lasten van de Stichting worden gedekt door bijdragen van familie Wassenaar</t>
  </si>
  <si>
    <t>Bankkosten 2009</t>
  </si>
  <si>
    <t>Bankkosten 2010</t>
  </si>
  <si>
    <t>Bijdragen Kamer van Koophandel 2010</t>
  </si>
  <si>
    <t>In 2010 werd geschonken aan:</t>
  </si>
  <si>
    <t>Susan Wassenaar-Farr, 7 februari 2010</t>
  </si>
  <si>
    <t>Susan Wassenaar-Farr, 2 januari 2012</t>
  </si>
  <si>
    <t>Te verrekenen betalingen onderling, ultimo 2011</t>
  </si>
  <si>
    <t xml:space="preserve">1555.54.042  EUR - Verenigingspakket  - Stichting Drie Wassende </t>
  </si>
  <si>
    <t>Datum</t>
  </si>
  <si>
    <t>Saldo</t>
  </si>
  <si>
    <t>Bestedingsruimte</t>
  </si>
  <si>
    <r>
      <t>10.533,65</t>
    </r>
    <r>
      <rPr>
        <sz val="10"/>
        <rFont val="Arial"/>
        <family val="2"/>
      </rPr>
      <t> </t>
    </r>
  </si>
  <si>
    <t>Rentedatum</t>
  </si>
  <si>
    <t>Code</t>
  </si>
  <si>
    <t>Tegenrekening</t>
  </si>
  <si>
    <t>Naam / Omschrijving</t>
  </si>
  <si>
    <t>Bedrag</t>
  </si>
  <si>
    <t>Boekdatum : 15-12-2011</t>
  </si>
  <si>
    <t>Verwerkingsdatum : 15-12-2011</t>
  </si>
  <si>
    <t>cb</t>
  </si>
  <si>
    <t>5762.50.481</t>
  </si>
  <si>
    <t>FARRWASS TWEE BV</t>
  </si>
  <si>
    <t>bij</t>
  </si>
  <si>
    <t> €</t>
  </si>
  <si>
    <t>CONFORM TOEZEGGING</t>
  </si>
  <si>
    <t>DIREKTIE DD 11 DEC 2011</t>
  </si>
  <si>
    <t>Boekdatum : 05-10-2011</t>
  </si>
  <si>
    <t>Verwerkingsdatum : 05-10-2011</t>
  </si>
  <si>
    <t>db</t>
  </si>
  <si>
    <t>Kosten</t>
  </si>
  <si>
    <t xml:space="preserve">af </t>
  </si>
  <si>
    <t>Periode 01-07-2011 t/m 30-09-2011</t>
  </si>
  <si>
    <t>Boekdatum : 05-07-2011</t>
  </si>
  <si>
    <t>Verwerkingsdatum : 05-07-2011</t>
  </si>
  <si>
    <t>Periode 01-04-2011 t/m 30-06-2011</t>
  </si>
  <si>
    <t>Boekdatum : 05-04-2011</t>
  </si>
  <si>
    <t>Verwerkingsdatum : 05-04-2011</t>
  </si>
  <si>
    <t>Periode 01-01-2011 t/m 31-03-2011</t>
  </si>
  <si>
    <t>Boekdatum : 08-02-2011</t>
  </si>
  <si>
    <t>Verwerkingsdatum : 07-02-2011</t>
  </si>
  <si>
    <t>tb</t>
  </si>
  <si>
    <t>3251.44.338</t>
  </si>
  <si>
    <t>S.C. WASSENAAR-FARR EO</t>
  </si>
  <si>
    <t>te vergoeden bankkosten 2009</t>
  </si>
  <si>
    <t>en 2010</t>
  </si>
  <si>
    <t>te vergoeden betaling aan</t>
  </si>
  <si>
    <t>goed doel 3 Manen 2010</t>
  </si>
  <si>
    <t>Boekdatum : 07-02-2011</t>
  </si>
  <si>
    <t>Verwerkingsdatum : 06-02-2011</t>
  </si>
  <si>
    <t>ac</t>
  </si>
  <si>
    <t>1356.41.233</t>
  </si>
  <si>
    <t>Kamer van koophandel</t>
  </si>
  <si>
    <t>BETALINGSKENM. 8001101124394000</t>
  </si>
  <si>
    <t>Boekdatum : 06-01-2011</t>
  </si>
  <si>
    <t>Verwerkingsdatum : 06-01-2011</t>
  </si>
  <si>
    <t>Periode 01-10-2010 t/m 31-12-2010</t>
  </si>
  <si>
    <t>2011</t>
  </si>
  <si>
    <t>Bankkosten 2011</t>
  </si>
  <si>
    <t>Bijdragen Kamer van Koophandel 2011</t>
  </si>
  <si>
    <t xml:space="preserve">In de bestuursvergadering van 4 januari 2012 is besloten het voorstel van de Adviescommissie Goede Doelen te volgen. </t>
  </si>
  <si>
    <t>In 2011 werd geschonken aan:</t>
  </si>
  <si>
    <t>Stichting Kinderhulp Burkina Faso</t>
  </si>
  <si>
    <t>IBISS</t>
  </si>
  <si>
    <t>Schuld ultimo 2011</t>
  </si>
  <si>
    <t>St. Kinderhulp Burkina Faso</t>
  </si>
  <si>
    <t>Uitvoeringskosten eigen organisatie, tevens vordering op W.O. Wassenaar</t>
  </si>
  <si>
    <t>Te vergoeden bankkosten 1-01-2011 t/m 31-03-2011</t>
  </si>
  <si>
    <t>Te vergoeden bankkosten 01-04-2011 t/m 30-06-2011</t>
  </si>
  <si>
    <t>Te vergoeden bankkosten 01-07-2011 t/m 30-09-2011</t>
  </si>
  <si>
    <t>Te vergoeden kosten kamer van koophandel 2011</t>
  </si>
  <si>
    <t xml:space="preserve">Reservering ultimo 2011 </t>
  </si>
  <si>
    <t>Toekomstige verplichting St. Leef je Droom</t>
  </si>
  <si>
    <t>St. Leef je Droom (waarvan €1.670 meteen opeisbaar)</t>
  </si>
  <si>
    <t>Gereserveerd t.b.v. Verplichting vervolg-jaren</t>
  </si>
  <si>
    <t>Gereserveerd voor toekomstige donaties</t>
  </si>
  <si>
    <t>Kolommenbalans 2011</t>
  </si>
  <si>
    <t>vorderingen</t>
  </si>
  <si>
    <t>rabobank</t>
  </si>
  <si>
    <t>continuiteitsvermogen</t>
  </si>
  <si>
    <t>vrijbesteedbaar</t>
  </si>
  <si>
    <t>lijfrentes</t>
  </si>
  <si>
    <t>overige contributies</t>
  </si>
  <si>
    <t>onkosten eigen organisatie</t>
  </si>
  <si>
    <t>begin saldo</t>
  </si>
  <si>
    <t>rabo 0010</t>
  </si>
  <si>
    <t>schulden</t>
  </si>
  <si>
    <t>eindsaldo</t>
  </si>
  <si>
    <t>rabo 0011</t>
  </si>
  <si>
    <t>rabo 0012</t>
  </si>
  <si>
    <t>rabo 0013</t>
  </si>
  <si>
    <t>rabo 0014</t>
  </si>
  <si>
    <t>afsluitende journaalposten</t>
  </si>
  <si>
    <t>Te vergoeden bankkosten 01-10-2011 t/m 31-12-2011</t>
  </si>
  <si>
    <t>schatting</t>
  </si>
  <si>
    <t>toekomstige verplichtingen</t>
  </si>
  <si>
    <t>sub-saldo</t>
  </si>
  <si>
    <t>resultaat</t>
  </si>
  <si>
    <t>nog te betalen bankkosten 4eQ 2011</t>
  </si>
  <si>
    <t>toegekende giften</t>
  </si>
  <si>
    <t>Per saldo op 31-12-2011</t>
  </si>
  <si>
    <t>schuld aan St. Drie Wassende Manen</t>
  </si>
  <si>
    <t>van S.C. Wassenaar-Farr</t>
  </si>
  <si>
    <t>Te verrekenen betalingen onderling, ultimo 2012</t>
  </si>
  <si>
    <t>Kolommenbalans 2012</t>
  </si>
  <si>
    <t>rabo 0015</t>
  </si>
  <si>
    <t>rabo 0016</t>
  </si>
  <si>
    <t>rabo 0017</t>
  </si>
  <si>
    <t>rabo 0018</t>
  </si>
  <si>
    <t>rabo 0019</t>
  </si>
  <si>
    <t>rabo 0020</t>
  </si>
  <si>
    <t>rabo 0021</t>
  </si>
  <si>
    <t>verlegging burokosten</t>
  </si>
  <si>
    <t>Te vergoeden bankkosten 1-01-2012 t/m 31-03-2012</t>
  </si>
  <si>
    <t>Te vergoeden bankkosten 01-04-2012 t/m 30-06-2012</t>
  </si>
  <si>
    <t>Te vergoeden bankkosten 01-07-2012 t/m 30-09-2012</t>
  </si>
  <si>
    <t>Te vergoeden bankkosten 01-10-2012 t/m 31-12-2012</t>
  </si>
  <si>
    <t>Te vergoeden kosten kamer van koophandel 2012</t>
  </si>
  <si>
    <t>Per saldo op 31-12-2012</t>
  </si>
  <si>
    <t>bankkosten te betalen</t>
  </si>
  <si>
    <t>vereffening</t>
  </si>
  <si>
    <t>vereffening vordering vorig jaar</t>
  </si>
  <si>
    <t>te betalen</t>
  </si>
  <si>
    <t>2012</t>
  </si>
  <si>
    <t>Bankkosten 2012</t>
  </si>
  <si>
    <t>Bijdragen Kamer van Koophandel 2012</t>
  </si>
  <si>
    <t>In 2012 heeft de Adviescommissie Goede Doelen geen voorstellen kunnen doen over schenkingen aan goede doelen.</t>
  </si>
  <si>
    <t>Schuld ultimo 2012</t>
  </si>
  <si>
    <t>Reservering ultimo 2012</t>
  </si>
  <si>
    <t>Nog te betalen bankkosten 4eQ 2012</t>
  </si>
  <si>
    <t>Toezegging 2013 St. Leef je Droom</t>
  </si>
  <si>
    <t>verplichting 2013 Leef je Droom</t>
  </si>
  <si>
    <t>resultaat 2012</t>
  </si>
  <si>
    <t>eind balans</t>
  </si>
  <si>
    <t>Susan Wassenaar-Farr, 11 februari 2013</t>
  </si>
  <si>
    <t xml:space="preserve">In 2011 is een toezegging aan St. Leef je Droom gedaan om in 2013 en 2014 in totaal €  3.130  </t>
  </si>
  <si>
    <t>bij te dragen aan de kosten van de opleiding tot co-schipper van Myrthe Houx.</t>
  </si>
  <si>
    <t>2013</t>
  </si>
  <si>
    <t>Bankkosten 2013</t>
  </si>
  <si>
    <t>Kolommenbalans 2013</t>
  </si>
  <si>
    <t>resultaat 2013</t>
  </si>
  <si>
    <t>rabo 0022</t>
  </si>
  <si>
    <t>rabo 0023</t>
  </si>
  <si>
    <t>rabo 0024</t>
  </si>
  <si>
    <t>rabo 0025</t>
  </si>
  <si>
    <t>rabo 0026</t>
  </si>
  <si>
    <t>rabo 0027</t>
  </si>
  <si>
    <t>rabo 0028</t>
  </si>
  <si>
    <t>vrijval verplichtingen Leef je Droom</t>
  </si>
  <si>
    <t>Bijdragen St. Transparante Anbi.nl</t>
  </si>
  <si>
    <t>In 2013 heeft de Adviescommissie Goede Doelen geen voorstellen kunnen doen over schenkingen aan goede doelen.</t>
  </si>
  <si>
    <t>Toen in 2012 duidelijk werd dat Myrthe haar opleiding niet ging voltooien, verviel ook de verplichting aan St. Leef je Droom.</t>
  </si>
  <si>
    <t>aan de kosten van de opleiding tot co-schipper van Myrthe Houx. De toezegging is gedaan specifiek t.b.v. de opleiding van Myrthe.</t>
  </si>
  <si>
    <t>In 2011 is een toezegging aan St. Leef je Droom gedaan om in 2013 en 2014 in totaal €  3.130  bij te dragen</t>
  </si>
  <si>
    <t>Het bestuur heeft in haar vergadering in december 2013 besloten de Adviescommissie alsnog uit te nodigen zo spoedig</t>
  </si>
  <si>
    <t>mogelijk een voorstel voor besteding van de gelden 2013 te doen. Eventuele toegekende schenkingen zijn niet verwerkt in dit overzicht</t>
  </si>
  <si>
    <t>Het onbesteed bedrag is conform bestuursbesluit in december  vrijgevallen naar vrijbesteedbaar vermogen.</t>
  </si>
  <si>
    <t>Te verrekenen betalingen onderling, ultimo 2013</t>
  </si>
  <si>
    <t>Te vergoeden bankkosten 1-01-2013 t/m 31-03-2013</t>
  </si>
  <si>
    <t>Te vergoeden bankkosten 01-04-2013 t/m 30-06-2013</t>
  </si>
  <si>
    <t>Te vergoeden bankkosten 01-07-2013 t/m 30-09-2013</t>
  </si>
  <si>
    <t>Te vergoeden bankkosten 01-10-2013 t/m 31-12-2013</t>
  </si>
  <si>
    <t>Te vergoeden kosten Stichting Transparante Anbi.nl</t>
  </si>
  <si>
    <t>Per saldo op 31-12-2013</t>
  </si>
  <si>
    <t>http://www.transparante-anbi.nl/ANBI/Home/2274</t>
  </si>
  <si>
    <t>http://www.transparante-anbi.nl/Product/Stichting-Drie-Wassende-Manen/1661</t>
  </si>
  <si>
    <t>om informatie te wijzigen:</t>
  </si>
  <si>
    <t>inlog:</t>
  </si>
  <si>
    <t>driewassendemanen@gmail.com</t>
  </si>
  <si>
    <t>doe77ke</t>
  </si>
  <si>
    <t>volg aangegeven instructies, makkelijk te doen</t>
  </si>
  <si>
    <t>hiervandaan kan je informatie over onze stichting inzien, zoals vreemden het ook kunnen</t>
  </si>
  <si>
    <t>toezeggingen 2013 reserveren</t>
  </si>
  <si>
    <t>Susan Wassenaar-Farr, boekhouder, 31 januari 2014</t>
  </si>
  <si>
    <t>reserves=continuiteitsvermogen</t>
  </si>
  <si>
    <t>Gereserveerd voor 2013 schenkingen</t>
  </si>
  <si>
    <t>Te vergoeden bankkosten 01-04-2014 t/m 30-06-2014</t>
  </si>
  <si>
    <t>Te verrekenen betalingen onderling, ultimo 2014</t>
  </si>
  <si>
    <t>Te vergoeden bankkosten 01-07-2014 t/m 30-09-2014</t>
  </si>
  <si>
    <t>Te vergoeden bankkosten 01-10-2014 t/m 31-12-2014</t>
  </si>
  <si>
    <t>Per saldo op 31-12-2014</t>
  </si>
  <si>
    <t>Kolommenbalans 2014</t>
  </si>
  <si>
    <t>resultaat 2014</t>
  </si>
  <si>
    <t>2014</t>
  </si>
  <si>
    <t>ING bank r/c</t>
  </si>
  <si>
    <t>ING bank spaarrekening</t>
  </si>
  <si>
    <t>ING 001</t>
  </si>
  <si>
    <t>ING 002</t>
  </si>
  <si>
    <t>ING 003</t>
  </si>
  <si>
    <t>ING 004</t>
  </si>
  <si>
    <t>ING 005</t>
  </si>
  <si>
    <t>ING 006</t>
  </si>
  <si>
    <t>ING 2015 01</t>
  </si>
  <si>
    <t>spaarING 2015 01</t>
  </si>
  <si>
    <t>ontvangen geschenken</t>
  </si>
  <si>
    <t>rente baten</t>
  </si>
  <si>
    <t>toezeggingen 2014 reserveren</t>
  </si>
  <si>
    <t>Liquide Middelen NL48 INGB 0006 4686 68</t>
  </si>
  <si>
    <t>Gereserveerd voor 2014 schenkingen</t>
  </si>
  <si>
    <t>toegezegde giften</t>
  </si>
  <si>
    <t>Susan Wassenaar-Farr, boekhouder, 16 januari 2015</t>
  </si>
  <si>
    <t>Overige baten</t>
  </si>
  <si>
    <t>Bankkosten 2014</t>
  </si>
  <si>
    <t>In 2014 heeft de Stichting van Farrwass Twee B.V. een schenking ontvangen van € 7.500, te besteding aan goede doelen.</t>
  </si>
  <si>
    <t>In 2014 heeft de Adviescommissie Goede Doelen twee keer vergaderd en twee keer goede doelen aangewezen voor de besteding van de gelden van 2013 en 2014.</t>
  </si>
  <si>
    <t xml:space="preserve">Het bestuur heeft in haar vergaderingen in mei 2014 en in december 2014 beide voorstellen van de Adviescommissie bekrachtigd. </t>
  </si>
  <si>
    <t>Aan Join the Pipe is € 5.000 toegezegd voor verbetering en uitbreiding van drinkwater en sanitaire voorzieningen bij Outering Education Centre in Nairobi, Kenia</t>
  </si>
  <si>
    <t>Aan Jeugdsportfonds Noord Holland is € 1.000 toegezegd voor sportende kinderen in Hilversum.</t>
  </si>
  <si>
    <t xml:space="preserve">Aan St. Leergeld Den Haag is € 500 toegezegd voor activiteiten van vier jongeren </t>
  </si>
  <si>
    <t>Aan St. Leergeld Apeldoorn is € 1.000 toegezegd voor sportende kinderen in Apeldoorn.</t>
  </si>
  <si>
    <t>De gelden 2013 ad € 7.500 zijn toegekend en inmiddels overgemaakt aan de volgende organisaties:</t>
  </si>
  <si>
    <t>De gelden 2014 zijn voor € 2.500 toegezegd aan Stichting GetOn voor haar scholen in Zuid Africa en voor € 3.500 toegezegd aan Stichting Beter ter Been voor</t>
  </si>
  <si>
    <t>een schuurmachine voor schoenmakers in Nepal. De bestemde gelden zijn gereserveerd en worden in 2015 overgemaakt aan de betreffende instellingen.</t>
  </si>
  <si>
    <t>Begroting 2014</t>
  </si>
  <si>
    <t>De vergaderkosten in 2014 zijn rechtstreeks door familie Wassenaar betaald.</t>
  </si>
  <si>
    <t>Te verrekenen betalingen onderling, ultimo 2015</t>
  </si>
  <si>
    <t>Kolommenbalans 2015</t>
  </si>
  <si>
    <t>overgemaakte giften</t>
  </si>
  <si>
    <t>ING 007</t>
  </si>
  <si>
    <t>ING 008</t>
  </si>
  <si>
    <t>toezeggingen 2015 reserveren</t>
  </si>
  <si>
    <t>resultaat 2015</t>
  </si>
  <si>
    <t>ING 009</t>
  </si>
  <si>
    <t>Per saldo op 31-12-2015</t>
  </si>
  <si>
    <t>Te vergoeden bankkosten 18-02-2014 t/m 31-03-2014</t>
  </si>
  <si>
    <t xml:space="preserve"> - </t>
  </si>
  <si>
    <t>Te vergoeden bankkosten 1-01-2015 t/m 31-03-2015</t>
  </si>
  <si>
    <t>Te vergoeden bankkosten 01-04-2015 t/m 30-06-2015</t>
  </si>
  <si>
    <t>Te vergoeden bankkosten 01-07-2015 t/m 30-09-2015</t>
  </si>
  <si>
    <t>Te vergoeden bankkosten 01-10-2015 t/m 31-12-2015</t>
  </si>
  <si>
    <t>Door schenking aan project Paulo Viegas Os Cavalinhos</t>
  </si>
  <si>
    <t>vordering op W.O. Wassenaar</t>
  </si>
  <si>
    <t xml:space="preserve">Van S.C. Wassenaar teveel ontvangen </t>
  </si>
  <si>
    <t>reserveren voor toekomstige verrekening</t>
  </si>
  <si>
    <t>vordering op w.o. wassenaar</t>
  </si>
  <si>
    <t>vooruitbetaald S.C. Wassenaar</t>
  </si>
  <si>
    <t>2015</t>
  </si>
  <si>
    <t>In 2015 heeft de Stichting van Farrwass Twee B.V. een schenking ontvangen van € 7.500, te besteding aan goede doelen.</t>
  </si>
  <si>
    <t>Bankkosten 2015</t>
  </si>
  <si>
    <t>ING 010</t>
  </si>
  <si>
    <t>spaarING 2015 02</t>
  </si>
  <si>
    <t>Susan Wassenaar-Farr, boekhouder, 16 januari 2016</t>
  </si>
  <si>
    <t>Gereserveerd voor 2015 en 2016 schenkingen</t>
  </si>
  <si>
    <t>Gereserveerd voor toegekende giften 2016</t>
  </si>
  <si>
    <t xml:space="preserve">              </t>
  </si>
  <si>
    <t xml:space="preserve">In 2015 heeft de Stichting een schenking van W.O. Wassenaar ontvangen van € 1.000. </t>
  </si>
  <si>
    <t>In 2015 heeft de Adviescommissie Goede Doelen een keer vergaderd om goede doelen aan te wijzen voor de besteding van de gelden van 2015.</t>
  </si>
  <si>
    <t xml:space="preserve">Daarnaast is twee keer via email een positief advies gegeven aan het bestuur voor bijzondere schenkingen in 2015 aan Carleton College en aan </t>
  </si>
  <si>
    <t xml:space="preserve">de restoratie van Os Cavalinhos, een oud visser's bootje in de Algarve. </t>
  </si>
  <si>
    <t xml:space="preserve">Het bestuur is gevraagd de voorstellen van de Adviescommissie voor de schenkingen 2015 te bekrachtigen, hetgeen nog moet plaatsvinden. </t>
  </si>
  <si>
    <t>Stichting Beter ter Been voor een schuurmachine voor schoenmakers in Nepal, zijn in 2015 uitgekeerd.</t>
  </si>
  <si>
    <t>De vergaderkosten in 2015 zijn rechtstreeks door familie Wassenaar betaald.</t>
  </si>
  <si>
    <t xml:space="preserve">De gereserveerde gelden 2014 voor € 2.500 toegezegd aan Stichting GetOn voor haar scholen in Zuid Africa en voor € 3.500 toegezegd aan </t>
  </si>
  <si>
    <t>voor de scholing van kinderen in vluchtelingekampen in Turkije.</t>
  </si>
  <si>
    <t xml:space="preserve">Dat voorstel bevat een schenking aan het Gooische Natuurreservaat ad 3.000 tbv drie picknicktafels en een voorlopige reservering ad 2.500 </t>
  </si>
  <si>
    <t xml:space="preserve">Het bestuur heeft ook per email haar instemming gegeven met de schenkingen aan Carleton College en aan Os Cavalinhos. </t>
  </si>
  <si>
    <t>winst tbv reserves=continuiteitsvermogen</t>
  </si>
  <si>
    <t>In 2015 heeft de Stichting een periodieke schenking van S.C. Wassenaar-Farr aanvaard van $13.000 per jaar gedurende zes jaar, in 2015 € 11.747,69</t>
  </si>
  <si>
    <t>Toegekende giften 2015</t>
  </si>
  <si>
    <t>Geadviseerde giften 2015</t>
  </si>
  <si>
    <t>Op de spaarrekening bij de ING bank is over 2015 rente ontvangen van € 53,83</t>
  </si>
  <si>
    <t>Begroting 2015</t>
  </si>
  <si>
    <t>2016</t>
  </si>
  <si>
    <t>Kolommenbalans 2016</t>
  </si>
  <si>
    <t>spaarING 2017-1</t>
  </si>
  <si>
    <t>vorderingen=bureaukosten, bankkosten, vergaderkosten</t>
  </si>
  <si>
    <t>Te vergoeden bankkosten 01-01-2016 t/m 31-03-2016</t>
  </si>
  <si>
    <t>Te vergoeden bankkosten 01-04-2016 t/m 30-06-2016</t>
  </si>
  <si>
    <t>Te vergoeden bankkosten 01-07-2016 t/m 30-09-2016</t>
  </si>
  <si>
    <t>Door familie Wassenaar rechtstreeks betaalde vergaderkosten</t>
  </si>
  <si>
    <t>wordt iedere 1e van de maand afgeschreven</t>
  </si>
  <si>
    <t>Gedurende vijf jaar € 80 per maand</t>
  </si>
  <si>
    <t>Hilversum, locatie door Doeke geregeld</t>
  </si>
  <si>
    <t>Groningen, UES</t>
  </si>
  <si>
    <t>n.v.t.</t>
  </si>
  <si>
    <t>Eelco voor wijn en cadeaux</t>
  </si>
  <si>
    <t>Project Eelco: Stichting WakK, Bosbouw programma in Kagera</t>
  </si>
  <si>
    <t>Project Sophie: Microkrediet voor Moeders</t>
  </si>
  <si>
    <t>Mini-Project Tibbe en Amélie: inzameling goederen voor kinderen in Kindertehuis</t>
  </si>
  <si>
    <t>schuld aan St. Drie Wassende Manen van familie Wassenaar</t>
  </si>
  <si>
    <t>toezeggingen-2016-12 reserveren</t>
  </si>
  <si>
    <t>In 2016 heeft de Stichting van Farrwass Twee B.V. een schenking ontvangen van € 7.500, te besteding aan goede doelen.</t>
  </si>
  <si>
    <t>Vergaderkosten november 2016</t>
  </si>
  <si>
    <t>Op de spaarrekening bij de ING bank is over 2016 rente ontvangen van € 32,48</t>
  </si>
  <si>
    <t>In 2016 heeft de Adviescommissie Goede Doelen twee keer vergaderd om goede doelen aan te wijzen voor de besteding van de gelden van 2016 en voorgaande jaren.</t>
  </si>
  <si>
    <t>ontvangen donaties</t>
  </si>
  <si>
    <t>spaarING 2016-2</t>
  </si>
  <si>
    <t>in/uit</t>
  </si>
  <si>
    <t>spaarING 2016-3</t>
  </si>
  <si>
    <t>prive betaalde vergaderkosten</t>
  </si>
  <si>
    <t>vooruitbetaald S.C. Wassenaar 4 CC</t>
  </si>
  <si>
    <t>vrijval verplichting proj Turkije Susan</t>
  </si>
  <si>
    <t>Te vorderen bureaukosten op fam. Wassenaar, ultimo 2016</t>
  </si>
  <si>
    <t>OVERLOPENDE POSTEN ultimo 2016</t>
  </si>
  <si>
    <t>Totaal op 31-12-2016</t>
  </si>
  <si>
    <t>reserveren voor toekomstige verrekening schenking aan CC 2017</t>
  </si>
  <si>
    <t>Reservering Stichting Gambia naar School, toezegging 2016</t>
  </si>
  <si>
    <t>Reservering toezeggingen Goede doelen december 2016</t>
  </si>
  <si>
    <t>verplichtingen CC</t>
  </si>
  <si>
    <t>picknick tafels</t>
  </si>
  <si>
    <t>scholing in Turkije</t>
  </si>
  <si>
    <t>in totaal</t>
  </si>
  <si>
    <t>reservering voor projecten wachtende toegegging</t>
  </si>
  <si>
    <t>reservering voor projecten wachtende toegegging 01-01-2016</t>
  </si>
  <si>
    <t>toezegging ontvangen van bestuur</t>
  </si>
  <si>
    <t>bij vergadering november 2016 Goede Doelen, scholingsproject vervallen</t>
  </si>
  <si>
    <t>Rente:</t>
  </si>
  <si>
    <t xml:space="preserve">Kosten: </t>
  </si>
  <si>
    <t>Bankkosten 2016</t>
  </si>
  <si>
    <t xml:space="preserve">In november is aan het bestuur voorgesteld €4.800 toe te zeggen, gedurende vijf jaar, aan St. Gambia naar School, €3.600 aan Stichting Rhotia Valley Foundation en €4.500 aan Stichting Challenge Day Nederland. In december is aan het bestuur voorgesteld € €3.500 aan Stichting WakK voor een Bosbouw programma in Kagera toe te zeggen en €4.250 aan Microkrediet voor Moeders. Tevens is door twee van de kleinkinderen Wassenaar (Tibbe en Amélie) een inzamelingsproject op hun school voorgesteld t.b.v. de kinderen in het Kindertehuis in Rhotia Valley. Alle voorstellen zijn door het bestuur goedgekeurd, dat tevens aangaf heel tevreden te zijn dat het geld niet in de Stichting wordt opgepot maar goed besteed wordt aan Goede Doelen.  </t>
  </si>
  <si>
    <t>Daarnaast zorgde het bestuur wederom voor uitbetaling in 2016 van de toegezegde schenkingen aan Carleton College.</t>
  </si>
  <si>
    <t>De voorstellen van de Adviescommissie voor de schenkingen 2015 zijn ook door het bestuur in haar vergadering van 13 maart 2016 goedgekeurd. Helaas zijn beide projecten nog niet gerealiseerd. De schenking aan het Gooische Natuurreservaat ad 3.000 tbv drie picknicktafels ligt nog bij het Natuurreservaat ter acceptatie. De reservering van €2.500 voor de scholing van kinderen in vluchtelingekampen in Turkije is vrijgevallen door het uitblijven van een concreet plan van uitvoering.</t>
  </si>
  <si>
    <t>Toegekende giften lopend jaar</t>
  </si>
  <si>
    <t>Vriijval reservering Turkije</t>
  </si>
  <si>
    <t>Geres. toegekende gift tot 2020 aan Carleton College</t>
  </si>
  <si>
    <t>St. Gambia naar School</t>
  </si>
  <si>
    <t>St. WakK</t>
  </si>
  <si>
    <t>Microkrediet voor Moeders</t>
  </si>
  <si>
    <t>01-01-2016 Saldo reservering</t>
  </si>
  <si>
    <t>31-12-2016 Saldo reservering</t>
  </si>
  <si>
    <t>Liquide Middelen NL48 INGB 0006 4686 68 en spaarrekening</t>
  </si>
  <si>
    <t>Gereserveerd voor reeds toegezegde schenkingen</t>
  </si>
  <si>
    <t>toezeggingen-2016-11 reserveren Gambia 5*12*80</t>
  </si>
  <si>
    <t>resultaat 2016</t>
  </si>
  <si>
    <t>Rente baten</t>
  </si>
  <si>
    <t>Overige baten: dekking onkosten</t>
  </si>
  <si>
    <t>Toegekende giften voorgaande jaren</t>
  </si>
  <si>
    <t>In 2015 heeft de Stichting een periodieke schenking van S.C. Wassenaar-Farr aanvaard van $13.000 per jaar gedurende zes jaar, in 2016 gelijk aan € 10.600</t>
  </si>
  <si>
    <t>Vastgesteld door bestuur: 20 february 2017</t>
  </si>
  <si>
    <t>Susan Wassenaar-Farr, boekhouder, 13 februari 2017</t>
  </si>
  <si>
    <t>spaarING 2017-2</t>
  </si>
  <si>
    <t>spaarING 2017-3</t>
  </si>
  <si>
    <t>2017</t>
  </si>
  <si>
    <t>spaarING 2018-1</t>
  </si>
  <si>
    <t>Te vergoeden bankkosten 01-10-2016 t/m 31-12-2016</t>
  </si>
  <si>
    <t>Te vergoeden bankkosten 01-01-2017 t/m 31-03-2017</t>
  </si>
  <si>
    <t>Te vergoeden bankkosten 01-04-2017 t/m 30-06-2017</t>
  </si>
  <si>
    <t>Te vergoeden bankkosten 01-07-2017 t/m 30-09-2017</t>
  </si>
  <si>
    <t>Totaal op 31-12-2017</t>
  </si>
  <si>
    <t>Te vorderen bureaukosten op fam. Wassenaar, ultimo 2017</t>
  </si>
  <si>
    <t>toegezegde giften niet overgemaakt</t>
  </si>
  <si>
    <t>vrijval verplichting proj picnic tafels Doeke</t>
  </si>
  <si>
    <t>sophie december 2016</t>
  </si>
  <si>
    <t>Gambia naar school 2016</t>
  </si>
  <si>
    <t>!!!</t>
  </si>
  <si>
    <t>specificatie reservering</t>
  </si>
  <si>
    <t>Kolommenbalans 2017</t>
  </si>
  <si>
    <t>ING 011</t>
  </si>
  <si>
    <t>reeds betaald</t>
  </si>
  <si>
    <t>Restant ultimo 2017</t>
  </si>
  <si>
    <t>Barrocal model gardens</t>
  </si>
  <si>
    <t>toezeggingen-2017-12 reserveren model tuinen</t>
  </si>
  <si>
    <t>vordering: bijdrage bezoekers Casa Tres Luas verdubbeld door Otto</t>
  </si>
  <si>
    <t>Reservering toezeggingen Goede doelen december 2017</t>
  </si>
  <si>
    <t>Vordering op giften gasten Casa Tres Luas 2016-2017, verdubbeld</t>
  </si>
  <si>
    <t>Project Otto:Stichting Gambia naar School, Gedurende vijf jaar € 80 per maand</t>
  </si>
  <si>
    <t>Totale Reservering reeds toegezegde Goede Doelen</t>
  </si>
  <si>
    <t>OVERLOPENDE POSTEN ultimo 2017</t>
  </si>
  <si>
    <t>In 2017 gestort door S.C. Wassenaar</t>
  </si>
  <si>
    <t>$13.000 overgemaakt aan CC</t>
  </si>
  <si>
    <t>vordering: bijstorting gift CC 2017</t>
  </si>
  <si>
    <t>Van S.C. Wassenaar teveel ontvangen 2016</t>
  </si>
  <si>
    <t>avaaz</t>
  </si>
  <si>
    <t xml:space="preserve">Vastgesteld door bestuur: </t>
  </si>
  <si>
    <t>Getekend door voorzitter:</t>
  </si>
  <si>
    <t>In 2017 heeft de Stichting van Farrwass Twee B.V. een schenking ontvangen van € 7.500, te besteding aan goede doelen.</t>
  </si>
  <si>
    <t>Bankkosten 2017</t>
  </si>
  <si>
    <t>Op de spaarrekening bij de ING bank is over 2017 rente ontvangen van € 14,62</t>
  </si>
  <si>
    <t>Daarnaast zorgde het bestuur wederom voor uitbetaling in 2017 van de toegezegde schenkingen aan Carleton College.</t>
  </si>
  <si>
    <t xml:space="preserve">St. Gambia naar School </t>
  </si>
  <si>
    <t>Financieel afgewikkelde toezeggingen 2017</t>
  </si>
  <si>
    <t>St. WaKK</t>
  </si>
  <si>
    <t>In 2017 heeft de Adviescommissie Goede Doelen een keer in december 2017 vergaderd om goede doelen aan te wijzen voor de besteding van de gelden van 2017 en voorgaande jaren.</t>
  </si>
  <si>
    <t>Vordering op S.C. Wassenaar, tekort door reeds overgemaakte giften</t>
  </si>
  <si>
    <t>Project Susan: Barrocal Model Gardens Algarve</t>
  </si>
  <si>
    <t>vordering op giften van casa tres luas</t>
  </si>
  <si>
    <t>CC</t>
  </si>
  <si>
    <t>reservering verplichtingen CC</t>
  </si>
  <si>
    <t>In 2015 heeft de Stichting een periodieke schenking van S.C. Wassenaar-Farr aanvaard van $13.000 per jaar gedurende zes jaar, in 2017 gelijk aan</t>
  </si>
  <si>
    <t>In 2017 heeft de Stichting € 1.000 ontvangen van gasten van Casa Tres Luas in Portugal als bijdrage in de schenking aan de Barrocal Model Tuinen</t>
  </si>
  <si>
    <t xml:space="preserve">Alle lopende projecten zijn besproken en geëvalueerd. Het toegezegd bedrag aan het Gooische Natuurreservaat is ingetrokken omdat de voorgestelde locatie nog niet wordt aangepakt en uitvoering dus niet mogelijk is. Voorgesteld en goedgekeurd werd het Barrocal Model Tuinen project in de Algarve dat deels ook werd gefinancieerd met geld van gasten van Casa Tres Luas in de Algarve. Het project behelst het realiseren van tuinen die zonder irrigatie, dus met locaal geschikte vegetatie, worden onderhouden, als voorbeeld voor de locale bevolking, toeristen en toekomstige tuinlieden. </t>
  </si>
  <si>
    <t xml:space="preserve">In 2017 zijn alle door de Goede Doelen Adviescommissie voorgestelde projecten, door het Bestuur beoordeeld en goedgekeurd. Wel bleef het bestuur kritisch over de toename van het geld beschikbaar voor besteding in verhouding tot de voorgestelde projecten. </t>
  </si>
  <si>
    <t>Gereserveerd voor reeds toegezegde schenkingen:</t>
  </si>
  <si>
    <t>Saldo 01-01-2017</t>
  </si>
  <si>
    <t xml:space="preserve">Saldo 31-12-2017 </t>
  </si>
  <si>
    <t>Vriijval reservering Gooische Natuurres.</t>
  </si>
  <si>
    <t>Barrocal Model Gardens</t>
  </si>
  <si>
    <t xml:space="preserve">In 2017 zijn per e-mail voorgesteld en door alle leden van de commissie goedgekeurd, twee projecten van Avaaz Foundation: € 100 voor project "end ivory collection and save elephants" and € 500 voor campagne project "children with law suit against Trump for dismissing climate". </t>
  </si>
  <si>
    <t>Susan Wassenaar-Farr, boekhouder, 20 januari 2018</t>
  </si>
  <si>
    <t>OVERLOPENDE POSTEN ultimo 2018</t>
  </si>
  <si>
    <t>Te vorderen bureaukosten op fam. Wassenaar, ultimo 2018</t>
  </si>
  <si>
    <t>Te vergoeden bankkosten 01-10-2017 t/m 31-12-2017</t>
  </si>
  <si>
    <t>Te vergoeden bankkosten 01-01-2018 t/m 31-03-2018</t>
  </si>
  <si>
    <t>Te vergoeden bankkosten 01-04-2018 t/m 30-06-2018</t>
  </si>
  <si>
    <t>Te vergoeden bankkosten 01-07-2018 t/m 30-09-2018</t>
  </si>
  <si>
    <t>Totaal op 31-12-2018</t>
  </si>
  <si>
    <t>Restant ultimo 2018</t>
  </si>
  <si>
    <t>Reservering toezeggingen Goede doelen december 2018</t>
  </si>
  <si>
    <t>resultaat 2018</t>
  </si>
  <si>
    <t>resultaat 2017</t>
  </si>
  <si>
    <t>Susan Wassenaar-Farr, boekhouder, xx januari 2019</t>
  </si>
  <si>
    <t>adres: driewassendemanen@gmail.com</t>
  </si>
  <si>
    <t>vraag   waar staat wachtwoord?</t>
  </si>
  <si>
    <t>antwoord Valedolobo</t>
  </si>
  <si>
    <t>inlog bij email account:</t>
  </si>
  <si>
    <t>Kolommenbalans 2018</t>
  </si>
  <si>
    <t>2018</t>
  </si>
  <si>
    <t>In 2018 heeft de Stichting van Farrwass Twee B.V. een schenking ontvangen van € 7.500, te besteding aan goede doelen.</t>
  </si>
  <si>
    <t>In 2015 heeft de Stichting een periodieke schenking van S.C. Wassenaar-Farr aanvaard van $13.000 per jaar gedurende zes jaar, in 2018 gelijk aan</t>
  </si>
  <si>
    <t>Bankkosten 2018</t>
  </si>
  <si>
    <t>herstel telefoon#</t>
  </si>
  <si>
    <t>06 2060 5279</t>
  </si>
  <si>
    <r>
      <t xml:space="preserve">wachtwoord  </t>
    </r>
    <r>
      <rPr>
        <strike/>
        <sz val="10"/>
        <rFont val="Arial"/>
        <family val="2"/>
      </rPr>
      <t>casatresluas</t>
    </r>
    <r>
      <rPr>
        <sz val="10"/>
        <rFont val="Arial"/>
        <family val="2"/>
      </rPr>
      <t xml:space="preserve">   </t>
    </r>
  </si>
  <si>
    <t>c@sa3luas</t>
  </si>
  <si>
    <t>beschikbaar voor schenking - balans</t>
  </si>
  <si>
    <t>dit jaar tot nu toe toegezegd en betaald</t>
  </si>
  <si>
    <t>Carleton College</t>
  </si>
  <si>
    <t>Ass Alerta Incendio Forestal</t>
  </si>
  <si>
    <t>Our Children's Trust</t>
  </si>
  <si>
    <t>donatie</t>
  </si>
  <si>
    <t>new server augustus 2018</t>
  </si>
  <si>
    <t xml:space="preserve">Om te zien wat een buitenstaander ziet: </t>
  </si>
  <si>
    <t>https://stichting.moment.online/stichting-drie-wassende-manen</t>
  </si>
  <si>
    <t>Bij ANBI status niet vergeten gewijzigde URL door te geven aan de Belastingdienst</t>
  </si>
  <si>
    <t>Om inhoud van de site te veranderen:</t>
  </si>
  <si>
    <t>https://mijn.moment.online/inloggen</t>
  </si>
  <si>
    <t>log in</t>
  </si>
  <si>
    <t>Doe77keokok</t>
  </si>
  <si>
    <t>Welkom Susan Wassenaar-Farr</t>
  </si>
  <si>
    <t>bij "Mijn thema's": kies Beheren</t>
  </si>
  <si>
    <t>kom je in: https://mijn.moment.online/account/themapaginas/275</t>
  </si>
  <si>
    <t>ga naar vierde blok: ANBI Publicaties</t>
  </si>
  <si>
    <t xml:space="preserve">zoals altijd voeg toe: </t>
  </si>
  <si>
    <r>
      <t xml:space="preserve">uitgeoefende activiteiten: 20xx, bij Omschrijving: zie jaarstukken 20xx, </t>
    </r>
    <r>
      <rPr>
        <i/>
        <sz val="10"/>
        <rFont val="Arial"/>
        <family val="2"/>
      </rPr>
      <t>conform voorgaande jaren</t>
    </r>
  </si>
  <si>
    <r>
      <t xml:space="preserve">Financiele verantwoording: 20xx: </t>
    </r>
    <r>
      <rPr>
        <i/>
        <sz val="10"/>
        <rFont val="Arial"/>
        <family val="2"/>
      </rPr>
      <t>sleep bestand naar aangegeven plek</t>
    </r>
  </si>
  <si>
    <t>OUD SYSTEEM, vóór september 2018</t>
  </si>
  <si>
    <t>DEZE WERKT OOK NOG</t>
  </si>
  <si>
    <t>https://transparante-stichtingen.nl/</t>
  </si>
  <si>
    <t>vraag:   waar staat wachtwoord?</t>
  </si>
  <si>
    <t>antwoord:   Valedolobo</t>
  </si>
  <si>
    <t>cell Susan</t>
  </si>
  <si>
    <t>hoeft niet, volgens mij, zie cell 34J</t>
  </si>
  <si>
    <t>verlegging burokosten te vorderen familie wassenaar</t>
  </si>
  <si>
    <t>specificatie reservering BB</t>
  </si>
  <si>
    <t>specificatie reservering EB</t>
  </si>
  <si>
    <t>is in resultaat verwerkt</t>
  </si>
  <si>
    <t>ik denk nu: Doe77keokok</t>
  </si>
  <si>
    <t>Om inhoud van de site te bekijken:</t>
  </si>
  <si>
    <t>Susan Wassenaar-Farr, boekhouder, 22 januari 2019</t>
  </si>
  <si>
    <t>Voordrachten Nw projecten 23 dec 2018, toezegging door bestuur op 11 januari 2019</t>
  </si>
  <si>
    <t>Toelichting</t>
  </si>
  <si>
    <t>Botanical Garden Signage Algarve</t>
  </si>
  <si>
    <t>Sri Lanka MicroKrediet Moeders</t>
  </si>
  <si>
    <t>Poet Pobee (Mwintombo)</t>
  </si>
  <si>
    <t>Education for All, Morocco</t>
  </si>
  <si>
    <t xml:space="preserve">Voedselbank Groningen </t>
  </si>
  <si>
    <t>Red de Bij Nederland</t>
  </si>
  <si>
    <t>uit eigen kas</t>
  </si>
  <si>
    <t xml:space="preserve">donatie, </t>
  </si>
  <si>
    <t>In 2018 heeft de Stichting van bezoekers van Casa Tres Luas met verdubbeling door dhr Wassenaar ontvangen voor Our Children's Trust en Volunteer Fire Fighters in Algarve</t>
  </si>
  <si>
    <t>In 2018 heeft de Adviescommissie Goede Doelen een keer in december vergaderd om goede doelen aan te wijzen voor de besteding van de gelden van 2018 en voorgaande jaren.</t>
  </si>
  <si>
    <t xml:space="preserve">Alle lopende projecten zijn besproken en geëvalueerd. St. Gambia naar School loopt heel goed en wordt regelmatig bezocht door de oprichters. De Botanical Garden ontwikkeling en plaatsing van naam bordjes werd bezocht door drie familie leden die enthousiast vertellen over de ontwikkelingen. MicroKrediet voor Moeders heeft een geschikt project voor ons gevonden; begin 2019 begint de begeleiding van een groep in Sri Lanka. </t>
  </si>
  <si>
    <t xml:space="preserve">Vier projecten zijn door de commissie voorgedragen aan het bestuur voor een totale schenking van € 15.000 euro. Poet Pobee is een door het project Talents4Humanity getrainde leider die straks eigen projecten gaat uitvoeren. Maaike heeft een keuze hieruit gedaan die zij wil ondersteunen. Eelco is onder de indruk van een organisatie in Morocco die meisjes begeleid door lager, middelbaar en (wanneer mogelijk) voortgezette scholing in een gebied waar dat niet gewoonlijk plaatsvindt. Chantal vindt vrijwilliger imkers die op onze kosten bijenkasten in onze regio's kunnen plaatsen wanneer wij de kosten dragen. Otto werd blij van de locale voedselbank die ontbijt regelt voor heel veel locale kinderen die anders zonder naar school gingen. Deze project zijn voorgelegd aan het bestuur, dat op 11 januari 2019 goedkeuring gaaf aan de uitvoering. </t>
  </si>
  <si>
    <t>Daarnaast zorgde het bestuur wederom voor uitbetaling in 2018 van de toegezegde schenking aan Carleton College. Van de toegezegde schenking gedurende zes jaar, zijn reeds de helft uitgevoerd.</t>
  </si>
  <si>
    <t xml:space="preserve">In 2018 zijn per e-mail voorgesteld en door alle leden van de commissie goedgekeurd, een schenking van € 552 aan de vrijwillige brandweer lieden tijdens de verschikkelijke bosbranden bij Monchique in de Algarve en  € 1000 voor de rechtszaak die Amerikaanse children voeren tegen de regering Trump omdat zij weigeren aandacht te besteden aan maatregelen om het klimaat te beschermen tegen CO2 uitstoot. </t>
  </si>
  <si>
    <t xml:space="preserve">In 2018 zijn alle door de Goede Doelen Adviescommissie voorgestelde projecten, door het Bestuur beoordeeld en goedgekeurd. Het bestuur sprak ook haar waardering uit voor de toename van goede project voorstellen. </t>
  </si>
  <si>
    <t>Saldo 01-01-2018</t>
  </si>
  <si>
    <t>Financieel afgewikkelde toezeggingen 2018</t>
  </si>
  <si>
    <t>Botanical Garden Signage</t>
  </si>
  <si>
    <t>Nieuwe projecten 2018</t>
  </si>
  <si>
    <t>Saldo 31-12-2018</t>
  </si>
  <si>
    <t>Uitbetaalde giften lopend jaar</t>
  </si>
  <si>
    <t>Uitbetaalde giften eerder toegekend</t>
  </si>
  <si>
    <t>Toegezegde giften nog af te wikkelen</t>
  </si>
  <si>
    <t>Susan Wassenaar-Farr, boekhouder,</t>
  </si>
  <si>
    <t>Kolommenbalans 2019</t>
  </si>
  <si>
    <t>OVERLOPENDE POSTEN ultimo 2019</t>
  </si>
  <si>
    <t>Te vorderen bureaukosten op fam. Wassenaar, ultimo 2019</t>
  </si>
  <si>
    <t>Restant ultimo 2019</t>
  </si>
  <si>
    <t>resultaat 2019</t>
  </si>
  <si>
    <t>2019</t>
  </si>
  <si>
    <t>betalingsverkeer</t>
  </si>
  <si>
    <t>transfer provisie</t>
  </si>
  <si>
    <t>website kosten</t>
  </si>
  <si>
    <t>vrijval project Marocco</t>
  </si>
  <si>
    <t>Toelichting balans</t>
  </si>
  <si>
    <t>Te vergoeden bankkosten 01-01-2019 t/m 31-03-2019</t>
  </si>
  <si>
    <t>Te vergoeden bankkosten 01-04-2019 t/m 30-06-2019</t>
  </si>
  <si>
    <t>Te vergoeden bankkosten 01-07-2019 t/m 30-09-2019</t>
  </si>
  <si>
    <t>Totaal op 31-12-2019</t>
  </si>
  <si>
    <t>Te vergoeden bankkosten 01-10-2018 t/m 31-12-2018</t>
  </si>
  <si>
    <t>Te vergoeden bankkosten oktober voor St.3WM</t>
  </si>
  <si>
    <t>Te vergoeden bankkosten november voor St.3WM</t>
  </si>
  <si>
    <t>Reservering toezeggingen Goede doelen december 2019</t>
  </si>
  <si>
    <t>beschikbaar voor schenking - ultimo 2019</t>
  </si>
  <si>
    <t>Carleton College (6x '15 t/m collegejaar'19-'20)</t>
  </si>
  <si>
    <t>2x donatie S. Wassenaar</t>
  </si>
  <si>
    <t>eerder toegezegd, dit jaar voor laatst betaald</t>
  </si>
  <si>
    <t>In 2019 heeft de Stichting van Farrwass Twee B.V. een schenking ontvangen van € 7.500, te besteding aan goede doelen.</t>
  </si>
  <si>
    <t>In 2015 heeft de Stichting een periodieke schenking van S.C. Wassenaar-Farr aanvaard van $13.000 per jaar gedurende zes jaar, in 2019 zijn twee jaarbedragen (gespreid over twee collegejaren uitbetaald, gelijk aan</t>
  </si>
  <si>
    <t>Bankkosten 2019</t>
  </si>
  <si>
    <t>Kosten Stichting Transparante Anbi.nl 2019</t>
  </si>
  <si>
    <t>Bank Transfer provisie 3x</t>
  </si>
  <si>
    <t>In 2019 heeft de Adviescommissie Goede Doelen geen datum gevonden waarop met voldoende leden een vergadering gehouden kon worden.</t>
  </si>
  <si>
    <t>Financieel afgewikkelde toezeggingen 2019</t>
  </si>
  <si>
    <t>Saldo 31-12-2019</t>
  </si>
  <si>
    <t>Tijdens de 75e Verjaardag-dinee van Susan Wassenaar werd kort en onvoorbereid verslag gedaan van de drie projecten die de schenking hebben geaccepteerd en in uitvoering genomen. Deze spontane verslagen worden formeel herhaald bij een volgende vergadering; hopelijk met muziek en beeld. Wij kijken ook nog uit naar een bezoek met toelichting aan geplaatste/bewoonde bijen korven.</t>
  </si>
  <si>
    <t xml:space="preserve">Daarnaast zorgde het bestuur wederom voor uitbetaling in 2019 van de toegezegde schenking aan Carleton College. Van de zes toegezegde schenking zijn de laatste twee in 2019 uitgevoerd, verdeeld over twee studiejaren. </t>
  </si>
  <si>
    <t xml:space="preserve">Eelco krijgt moeilijk contact met de door hem voorgestelde organisatie. Hij stelde voor zijn project in te trekken en hoopt beter succes te hebben met een nieuw project. </t>
  </si>
  <si>
    <t>ingetrokken</t>
  </si>
  <si>
    <t>Saldo 01-01-2019</t>
  </si>
  <si>
    <t>Bank Transfer provisie 2x (derde provisie zat al in vergoeding van 2 december)</t>
  </si>
  <si>
    <t>inclusief transferprovisie</t>
  </si>
  <si>
    <t xml:space="preserve">overgemaakt op 20 juni te veel </t>
  </si>
  <si>
    <t>nog 2 jr</t>
  </si>
  <si>
    <t>80*24=</t>
  </si>
  <si>
    <t>vrijval</t>
  </si>
  <si>
    <t>susan wassenaar</t>
  </si>
  <si>
    <t>betaald</t>
  </si>
  <si>
    <t>Farrwass Twee B.V.</t>
  </si>
  <si>
    <t>Sub-Totaal vordering Fam Wassenaar</t>
  </si>
  <si>
    <t>toegoed van familie Wassenaar bij St. Drie Wassende Manen</t>
  </si>
  <si>
    <t>Project Eelco: Marokko vrijgevallen, geen afspraak met organisatie kunnen maken</t>
  </si>
  <si>
    <t>verrekenen 3e provisie met tegoed</t>
  </si>
  <si>
    <t>In 2019 is per e-mail voorgesteld en door een meerderheid van de leden van de commissie goedgekeurd, een schenking van € 500 voor de rechtszaak die Amerikaanse children voeren tegen de regering Trump omdat zij weigert aandacht te besteden aan maatregelen om het klimaat te beschermen tegen CO2 uitstoot. Het proces verloopt tergend langzaam door de rechtbanken. Het gaat langzaam, maar steeds vooruit.</t>
  </si>
  <si>
    <t>Susan Wassenaar-Farr, boekhouder, 14 februari 2020</t>
  </si>
  <si>
    <t>continuiteitsvermogen,     c.q. beschikbaar voor schenking</t>
  </si>
  <si>
    <t>incl resultaat</t>
  </si>
  <si>
    <t>In 2019 heeft de Stichting 500 euro beschikbaar gesteld aan Our Children's Trust voor juridische kosten</t>
  </si>
  <si>
    <t>toezegging Our Children's Trust</t>
  </si>
  <si>
    <t>Toezegging Our Children's Trust</t>
  </si>
  <si>
    <t xml:space="preserve">dubbel betaalde provisie </t>
  </si>
  <si>
    <t>Fam. Wassenaar uit betaling CC</t>
  </si>
  <si>
    <t>2020</t>
  </si>
  <si>
    <t>OVERLOPENDE POSTEN ultimo 2020</t>
  </si>
  <si>
    <t>Gambia naar School</t>
  </si>
  <si>
    <t>Moment.online</t>
  </si>
  <si>
    <t>bank kosten</t>
  </si>
  <si>
    <t xml:space="preserve"> </t>
  </si>
  <si>
    <t>Schenking Farrwass2</t>
  </si>
  <si>
    <t>voedselbank algarve</t>
  </si>
  <si>
    <t>Uilenburgersjoel</t>
  </si>
  <si>
    <t>Leergeld den Haag</t>
  </si>
  <si>
    <t>Leergeld Hilversum</t>
  </si>
  <si>
    <t>St Grand Furtura</t>
  </si>
  <si>
    <t>Leergeld Apeldoorn</t>
  </si>
  <si>
    <t>nog 1 jr</t>
  </si>
  <si>
    <t>80*12=</t>
  </si>
  <si>
    <t>Kolommenbalans 2020</t>
  </si>
  <si>
    <t>resultaat 2020</t>
  </si>
  <si>
    <t>vrijval Our Children's Trust</t>
  </si>
  <si>
    <t>Toezeggingen 25 november 2020</t>
  </si>
  <si>
    <t>SprengenBeken</t>
  </si>
  <si>
    <t>Uitgestelde Kinderfeesten</t>
  </si>
  <si>
    <t>2 kinderen naar Vlieland</t>
  </si>
  <si>
    <t>Doen wie je bent</t>
  </si>
  <si>
    <t>Stichting Bretels</t>
  </si>
  <si>
    <t>Totaal eind balans</t>
  </si>
  <si>
    <t>toezeggingen 25 november 2020</t>
  </si>
  <si>
    <t xml:space="preserve">Te vergoeden bankkosten </t>
  </si>
  <si>
    <t>Sub-Totaal vordering op Fam Wassenaar</t>
  </si>
  <si>
    <t>schenking vooruit betaald Our Children's Trust, schuld aan fam wassenaar</t>
  </si>
  <si>
    <t xml:space="preserve">schuld aan familie Wassenaar </t>
  </si>
  <si>
    <t>schuld aan fam Wassenaar</t>
  </si>
  <si>
    <t>saldo 2019</t>
  </si>
  <si>
    <t>vergoeding bureau kosten 2020</t>
  </si>
  <si>
    <t>voorgeschoten our children's trust</t>
  </si>
  <si>
    <t>per saldo</t>
  </si>
  <si>
    <t>In 2020 heeft de Stichting van Farrwass Twee B.V. een schenking ontvangen van € 7.500, te besteden aan goede doelen.</t>
  </si>
  <si>
    <t>Bankkosten 2020</t>
  </si>
  <si>
    <t>Kosten Moment.online voor website cf wet op ANBI's</t>
  </si>
  <si>
    <t>Saldo 01-01-2020</t>
  </si>
  <si>
    <t>Saldo 31-12-2020</t>
  </si>
  <si>
    <t>Uilenburgersjoel Amsterdam</t>
  </si>
  <si>
    <t>Voedselbank algarve</t>
  </si>
  <si>
    <t>St Grand Furtura Groningen</t>
  </si>
  <si>
    <t>sub-totaal</t>
  </si>
  <si>
    <t>TOTAAL</t>
  </si>
  <si>
    <t>Begin balans - schuld aan fam Wassenaar</t>
  </si>
  <si>
    <t>Te vergoeden Kosten Moment.online (website)</t>
  </si>
  <si>
    <t>Susan Wassenaar-Farr, boekhouder, 7 januari 2020</t>
  </si>
  <si>
    <t>Vrijval Our Children's Trust</t>
  </si>
  <si>
    <t>Toegezegd op 7 juni en afgewikkelde in 2020</t>
  </si>
  <si>
    <t>Toegezegd op 25 november, nog af te wikkelen</t>
  </si>
  <si>
    <t>Continuiteitsvermogen, begin balans</t>
  </si>
  <si>
    <t>Resultaat 2020</t>
  </si>
  <si>
    <t>schenking Our Children's Trust inclusief vrijval</t>
  </si>
  <si>
    <t xml:space="preserve">Voor alle leden van onze commissie was wel duidelijk dat de nood in Nederland nog extra hoog was. Het was zeker belangrijk om ons bescheiden geldbedrag te besteden. Met alle corona maatregelen die in en uitgezet werden, was het alleen mogelijk via beeldbellen projecten te delen. Het geld dat eerder geen bestemming had gevonden vond dit jaar in ruim maat een goede bestemmingen. Zelfs vooruitdenkend naar 2021 werden tijdens onze tweede zoom overleg belangrijke bestemmingen in het vooruitzicht gesteld. </t>
  </si>
  <si>
    <t>Kolommenbalans 2021</t>
  </si>
  <si>
    <t>Uitgestelde kinderfeestjes</t>
  </si>
  <si>
    <t>Sprengen en Beken</t>
  </si>
  <si>
    <t>schenking FarrwassBV</t>
  </si>
  <si>
    <t>vergoeding bureau kosten 2021</t>
  </si>
  <si>
    <t>saldo 2020 schuld</t>
  </si>
  <si>
    <t>resultaat 2021</t>
  </si>
  <si>
    <t>2021</t>
  </si>
  <si>
    <t>In 2021 heeft de Stichting van Farrwass Twee B.V. een schenking ontvangen van € 7.500, te besteden aan goede doelen.</t>
  </si>
  <si>
    <t>Totaal begin balans</t>
  </si>
  <si>
    <t>Bankkosten 2021</t>
  </si>
  <si>
    <t xml:space="preserve">Door alle Corona maatregelen en de wisseling daarvan hebben we geen vergadering kunnen organiseren. Ook met de feestdagen lukte dat niet. Bovendien was het ook niet mogelijk voor de begunstigden van onze eerdere toezeggingen om alle schenkingen een goede bestemming te geven. Alle organisaties hebben ons gevraagd om de uitvoeringstijd te verlengen, wij hebben allen van harte een extra jaar gegund. Wij vresen dat zelfs dat extra jaar voor een aantal onvoldoende zal zijn. </t>
  </si>
  <si>
    <t>Saldo 01-01-2021</t>
  </si>
  <si>
    <t>Saldo 31-12-2021</t>
  </si>
  <si>
    <t>Resultaat 2021</t>
  </si>
  <si>
    <t>Susan Wassenaar-Farr, boekhouder, 10 januari 2022</t>
  </si>
  <si>
    <t>eind balans = saldo 31-12-2021</t>
  </si>
  <si>
    <t>Continuiteitsvermogen, begin balans 01-01-2021</t>
  </si>
  <si>
    <t>2022</t>
  </si>
  <si>
    <t>Kolommenbalans 2022</t>
  </si>
  <si>
    <t>Agragisch Natuurfonds Fryslan</t>
  </si>
  <si>
    <t>Gambia naar school 2022</t>
  </si>
  <si>
    <t>sTICHTING bRETELS</t>
  </si>
  <si>
    <t>saldo 2021 schuld</t>
  </si>
  <si>
    <t>vergoeding bureau kosten 2022</t>
  </si>
  <si>
    <t>Nog af te wikkelen toezeggingen 25 november 2020</t>
  </si>
  <si>
    <t>Toezegging 15 augustus 2022</t>
  </si>
  <si>
    <t>SG Mobile Healthcare Ghana</t>
  </si>
  <si>
    <t>Fabrieks-schoorsteen Hoogakkerlaan</t>
  </si>
  <si>
    <t>Kosten Moment.online voor website cf wet op ANBI's, direct door familie Wassenaar betaald</t>
  </si>
  <si>
    <t>In 2022 heeft de Stichting van Farrwass Twee B.V. een schenking ontvangen van € 7.500, te besteden aan goede doelen.</t>
  </si>
  <si>
    <t>Bankkosten 2022</t>
  </si>
  <si>
    <t>Toegezegde projecten 2022</t>
  </si>
  <si>
    <t>Vrijval toegezegde bedragen, niet uitgevoerde projecten</t>
  </si>
  <si>
    <t>specificatie reservering verplichtingen</t>
  </si>
  <si>
    <t>In Januari 2023 zijn beide bedragen overgemaakt aan de toegekende projecten</t>
  </si>
  <si>
    <t>resultaat 2022</t>
  </si>
  <si>
    <t>Stichting Bretels, betaald in 2022</t>
  </si>
  <si>
    <t>Agrarische Natuurfondsen Fryslan, betaald in '22</t>
  </si>
  <si>
    <t>Besluiten &amp; toezeggingen 31-12-2022</t>
  </si>
  <si>
    <t>Eind balans 2022</t>
  </si>
  <si>
    <t>per saldo, eind 2022</t>
  </si>
  <si>
    <t>In augustus 2022 heeft de commissie Goede Doelen en daarna het bestuur ingestemd met een schriftelijk voorstel om 5000 aan Agrarische Natuurfondsen Fryslan te schenken. Zij kopen en beheren grond in Friesland zodat weide vogels er graag wonen en reproduceren. Na instemming door ANF met onze voorwaarden, is het bedrag gelijk uitbetaald.</t>
  </si>
  <si>
    <t>In december 2022 is door de commissie Goede Doelen vergaderd en is besloten twee projecten in 2020 toegezegd en nog niet uitgevoerd, niet langer te reserveren. In de toekomst kunnen deze projecten altijd weer worden voorgedragen. Het totaal bedrag van 4.000 valt vrij om opnieuw bestemmd te worden.</t>
  </si>
  <si>
    <t>Totaal ACTIVA</t>
  </si>
  <si>
    <t>Totaal PASSIVA</t>
  </si>
  <si>
    <t>via Otto 338 betaald op 06-01-22 aan Moment</t>
  </si>
  <si>
    <t>betaald website</t>
  </si>
  <si>
    <t>In december 2022 is ook door de commissie Goede Doelen besloten twee nieuwe projecten voor te dragen aan het bestuur voor toestemming: SG Mobile Healthcare Ghana en Fabrieks-schoorsteen Hoogakkerlaan in Apeldoorn. Beide projecten zijn goedgekeurd door het bestuur in de laatste dagen/uren van 2022. Het geld is in januari 2023 aan de projecten overgemaakt na hun instemming met onze voorwaarden te hebben ontvangen.</t>
  </si>
  <si>
    <t>Resultaat 2022</t>
  </si>
  <si>
    <t>eind balans = saldo 31-12-2022</t>
  </si>
  <si>
    <t>Continuiteitsvermogen:</t>
  </si>
  <si>
    <t>begin balans 01-01-2022</t>
  </si>
  <si>
    <t>x4</t>
  </si>
  <si>
    <t>Verplichtingen door toezeggingen 31-12-2022</t>
  </si>
  <si>
    <t>Gambia naar School t/m 2026-12</t>
  </si>
  <si>
    <t>100 per maand</t>
  </si>
  <si>
    <t>GS Mobile Healthcare Ghana</t>
  </si>
  <si>
    <t>Correctie door toezegging Gambia naar School 1200 p.jaar ipv 960</t>
  </si>
  <si>
    <t>vrijval twee projecten</t>
  </si>
  <si>
    <t>Schuld door vijf jaar verplichting Gambia naar School</t>
  </si>
  <si>
    <t>Susan Wassenaar-Farr, boekhouder, 24 februari 2023</t>
  </si>
  <si>
    <t>Gambia naar School en rente baat</t>
  </si>
  <si>
    <t>Reijerman restoratie schoorsteen</t>
  </si>
  <si>
    <t>Eco Hospital Ghana</t>
  </si>
  <si>
    <t>Saldo te vorderen</t>
  </si>
  <si>
    <t>resultaat 2023</t>
  </si>
  <si>
    <t>x3</t>
  </si>
  <si>
    <t>saldo 2023 schuld</t>
  </si>
  <si>
    <t>vergoeding bureau kosten 2023</t>
  </si>
  <si>
    <t>te vorderen per saldo, eind 2023</t>
  </si>
  <si>
    <t>In 2023 heeft de Stichting van Farrwass Twee B.V. een schenking ontvangen van € 7.500, te besteden aan goede doelen.</t>
  </si>
  <si>
    <t>Bankkosten 2023</t>
  </si>
  <si>
    <t>In december 2023 heeft de commissie Goede Doelen en daarna het bestuur ingestemd met een schriftelijk voorstel om 4100 aan Eco Hospital in Ghana te doneren.  Na instemming door het Ziekenhuis met onze voorwaarden, en goedkeuring door het bestuur is het bedrag gelijk uitbetaald.</t>
  </si>
  <si>
    <t>begin balans 01-01-2023</t>
  </si>
  <si>
    <t>Resultaat 2023</t>
  </si>
  <si>
    <t>eind balans = saldo 31-12-2023</t>
  </si>
  <si>
    <t>Verplichtingen door eerdere toezeggingen</t>
  </si>
  <si>
    <t>Susan Wassenaar-Farr, boekhouder, 10 januari 2024</t>
  </si>
  <si>
    <t>Kolommenbalans 2024</t>
  </si>
  <si>
    <t>moment online</t>
  </si>
  <si>
    <t>diversen</t>
  </si>
  <si>
    <t>kosten zakelijke betalingsverkeer</t>
  </si>
  <si>
    <t>Farrwass Twee schenking</t>
  </si>
  <si>
    <t>Stichting Wolkentheater</t>
  </si>
  <si>
    <t>Antoni v Leeuwenhoek Foundation</t>
  </si>
  <si>
    <t>vordering op fam Wassenaar</t>
  </si>
  <si>
    <t>overgemaakte schenkingen</t>
  </si>
  <si>
    <t>vergoeding bureau kosten 2024</t>
  </si>
  <si>
    <t>te vorderen per saldo, eind 2024</t>
  </si>
  <si>
    <t>In 2024 heeft de Stichting van Farrwass Twee B.V. een schenking ontvangen van € 7.500, te besteden aan goede doelen.</t>
  </si>
  <si>
    <t>Bank- en organisatiekosten 2024</t>
  </si>
  <si>
    <t>In december 2024 heeft de commissie Goede Doelen en daarna het bestuur ingestemd met een schriftelijk voorstel om</t>
  </si>
  <si>
    <t>Gambia naar school tot en met 2026</t>
  </si>
  <si>
    <t>x2</t>
  </si>
  <si>
    <t xml:space="preserve">In mei 2024 heeft de commissie Goede Doelen en daarna het bestuur ingestemd met een schriftelijk voorstel om 2500 aan de Stichting Wolkentheater te doneren.  Helaas was het niet mogelijk om enige voorstelling van de Stichting te bezoeken. Daarnaast is in september een bedrag van 100 euro gedoneerd aan de reparatie van de vleugel van d Antoni v. Leeuwenhoek Stichting. Als wij in een ziekenhuis zijn, beleven wij graag de mogelijkheid piano muziek door wie dan ook te beluisteren. </t>
  </si>
  <si>
    <t>begin balans 01-01-2024</t>
  </si>
  <si>
    <t>Resultaat 2024</t>
  </si>
  <si>
    <t>eind balans = saldo 31-12-2024</t>
  </si>
  <si>
    <t>In 2024 overgemaakt</t>
  </si>
  <si>
    <t>Gambia naar School t/m 2026-12:</t>
  </si>
  <si>
    <t>Resteert 24 maanden ad100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</si>
</sst>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_-* #,##0.00_-;_-* #,##0.00\-;_-* &quot;-&quot;??_-;_-@_-"/>
    <numFmt numFmtId="166" formatCode="_-* #,##0_-;_-* #,##0\-;_-* &quot;-&quot;??_-;_-@_-"/>
    <numFmt numFmtId="167" formatCode="[$-413]d/mmm/yy;@"/>
    <numFmt numFmtId="168" formatCode="[$-413]d\ mmmm\ yyyy;@"/>
  </numFmts>
  <fonts count="41" x14ac:knownFonts="1">
    <font>
      <sz val="10"/>
      <name val="Arial"/>
    </font>
    <font>
      <sz val="10"/>
      <name val="Arial"/>
      <family val="2"/>
    </font>
    <font>
      <b/>
      <sz val="10"/>
      <color indexed="12"/>
      <name val="Arial"/>
      <family val="2"/>
    </font>
    <font>
      <b/>
      <sz val="12"/>
      <color indexed="12"/>
      <name val="Arial"/>
      <family val="2"/>
    </font>
    <font>
      <u/>
      <sz val="10"/>
      <color indexed="12"/>
      <name val="Arial"/>
      <family val="2"/>
    </font>
    <font>
      <sz val="10"/>
      <color indexed="12"/>
      <name val="Arial"/>
      <family val="2"/>
    </font>
    <font>
      <sz val="8"/>
      <name val="Arial"/>
      <family val="2"/>
    </font>
    <font>
      <b/>
      <sz val="16"/>
      <name val="Arial"/>
      <family val="2"/>
    </font>
    <font>
      <i/>
      <sz val="10"/>
      <color indexed="12"/>
      <name val="Arial"/>
      <family val="2"/>
    </font>
    <font>
      <i/>
      <sz val="10"/>
      <name val="Arial"/>
      <family val="2"/>
    </font>
    <font>
      <i/>
      <sz val="10"/>
      <color indexed="12"/>
      <name val="Arial"/>
      <family val="2"/>
    </font>
    <font>
      <b/>
      <sz val="10"/>
      <name val="Arial"/>
      <family val="2"/>
    </font>
    <font>
      <sz val="10"/>
      <name val="Arial"/>
      <family val="2"/>
    </font>
    <font>
      <u val="singleAccounting"/>
      <sz val="10"/>
      <name val="Arial"/>
      <family val="2"/>
    </font>
    <font>
      <sz val="8"/>
      <name val="Arial"/>
      <family val="2"/>
    </font>
    <font>
      <i/>
      <sz val="8"/>
      <name val="Arial"/>
      <family val="2"/>
    </font>
    <font>
      <u/>
      <sz val="10"/>
      <name val="Arial"/>
      <family val="2"/>
    </font>
    <font>
      <b/>
      <sz val="12"/>
      <name val="Arial"/>
      <family val="2"/>
    </font>
    <font>
      <sz val="10"/>
      <color indexed="12"/>
      <name val="Arial"/>
      <family val="2"/>
    </font>
    <font>
      <b/>
      <sz val="10"/>
      <name val="Arial"/>
      <family val="2"/>
    </font>
    <font>
      <sz val="10"/>
      <color indexed="18"/>
      <name val="Arial"/>
      <family val="2"/>
    </font>
    <font>
      <sz val="10"/>
      <color indexed="9"/>
      <name val="Arial"/>
      <family val="2"/>
    </font>
    <font>
      <sz val="12"/>
      <name val="Times New Roman"/>
      <family val="1"/>
    </font>
    <font>
      <strike/>
      <sz val="10"/>
      <name val="Arial"/>
      <family val="2"/>
    </font>
    <font>
      <sz val="10"/>
      <name val="Arial"/>
      <family val="2"/>
    </font>
    <font>
      <sz val="9"/>
      <name val="Arial"/>
      <family val="2"/>
    </font>
    <font>
      <sz val="10"/>
      <name val="Arial"/>
      <family val="2"/>
    </font>
    <font>
      <b/>
      <sz val="14"/>
      <name val="Arial"/>
      <family val="2"/>
    </font>
    <font>
      <strike/>
      <sz val="10"/>
      <name val="Calibri Light"/>
      <family val="2"/>
    </font>
    <font>
      <strike/>
      <sz val="12"/>
      <name val="Calibri Light"/>
      <family val="2"/>
    </font>
    <font>
      <strike/>
      <u/>
      <sz val="10"/>
      <color indexed="12"/>
      <name val="Calibri Light"/>
      <family val="2"/>
    </font>
    <font>
      <b/>
      <sz val="10"/>
      <name val="Calibri Light"/>
      <family val="2"/>
    </font>
    <font>
      <sz val="11"/>
      <color rgb="FF37474F"/>
      <name val="Arial"/>
      <family val="2"/>
    </font>
    <font>
      <b/>
      <sz val="24"/>
      <color rgb="FF37474F"/>
      <name val="Arial"/>
      <family val="2"/>
    </font>
    <font>
      <sz val="10"/>
      <color rgb="FF37474F"/>
      <name val="Arial"/>
      <family val="2"/>
    </font>
    <font>
      <sz val="12"/>
      <name val="Arial"/>
      <family val="2"/>
    </font>
    <font>
      <sz val="10"/>
      <color rgb="FFFF0000"/>
      <name val="Arial"/>
      <family val="2"/>
    </font>
    <font>
      <b/>
      <sz val="8"/>
      <name val="Arial"/>
      <family val="2"/>
    </font>
    <font>
      <sz val="10"/>
      <color rgb="FF0000D4"/>
      <name val="Arial"/>
      <family val="2"/>
    </font>
    <font>
      <i/>
      <sz val="10"/>
      <color rgb="FF0000D4"/>
      <name val="Arial"/>
      <family val="2"/>
    </font>
    <font>
      <b/>
      <sz val="10"/>
      <color rgb="FF0000D4"/>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indexed="53"/>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s>
  <borders count="7">
    <border>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4" fillId="0" borderId="0" applyNumberFormat="0" applyFill="0" applyBorder="0" applyAlignment="0" applyProtection="0">
      <alignment vertical="top"/>
      <protection locked="0"/>
    </xf>
    <xf numFmtId="165" fontId="1" fillId="0" borderId="0" applyFont="0" applyFill="0" applyBorder="0" applyAlignment="0" applyProtection="0"/>
    <xf numFmtId="9" fontId="1" fillId="0" borderId="0" applyFont="0" applyFill="0" applyBorder="0" applyAlignment="0" applyProtection="0"/>
    <xf numFmtId="0" fontId="12" fillId="0" borderId="0"/>
  </cellStyleXfs>
  <cellXfs count="280">
    <xf numFmtId="0" fontId="0" fillId="0" borderId="0" xfId="0"/>
    <xf numFmtId="0" fontId="2" fillId="0" borderId="0" xfId="0" applyFont="1"/>
    <xf numFmtId="0" fontId="3" fillId="0" borderId="0" xfId="0" applyFont="1"/>
    <xf numFmtId="0" fontId="5" fillId="0" borderId="0" xfId="0" applyFont="1"/>
    <xf numFmtId="166" fontId="0" fillId="0" borderId="0" xfId="2" applyNumberFormat="1" applyFont="1"/>
    <xf numFmtId="166" fontId="1" fillId="0" borderId="0" xfId="2" applyNumberFormat="1"/>
    <xf numFmtId="166" fontId="1" fillId="0" borderId="1" xfId="2" applyNumberFormat="1" applyBorder="1"/>
    <xf numFmtId="166" fontId="5" fillId="0" borderId="0" xfId="2" applyNumberFormat="1" applyFont="1"/>
    <xf numFmtId="166" fontId="5" fillId="2" borderId="0" xfId="2" applyNumberFormat="1" applyFont="1" applyFill="1"/>
    <xf numFmtId="166" fontId="0" fillId="0" borderId="1" xfId="2" applyNumberFormat="1" applyFont="1" applyBorder="1"/>
    <xf numFmtId="0" fontId="7" fillId="0" borderId="0" xfId="0" applyFont="1"/>
    <xf numFmtId="0" fontId="8" fillId="0" borderId="0" xfId="0" applyFont="1"/>
    <xf numFmtId="0" fontId="9" fillId="0" borderId="0" xfId="0" applyFont="1"/>
    <xf numFmtId="166" fontId="8" fillId="0" borderId="0" xfId="2" applyNumberFormat="1" applyFont="1"/>
    <xf numFmtId="166" fontId="10" fillId="2" borderId="0" xfId="2" applyNumberFormat="1" applyFont="1" applyFill="1"/>
    <xf numFmtId="9" fontId="5" fillId="2" borderId="0" xfId="3" applyFont="1" applyFill="1"/>
    <xf numFmtId="166" fontId="5" fillId="2" borderId="1" xfId="2" applyNumberFormat="1" applyFont="1" applyFill="1" applyBorder="1"/>
    <xf numFmtId="166" fontId="10" fillId="2" borderId="1" xfId="2" applyNumberFormat="1" applyFont="1" applyFill="1" applyBorder="1"/>
    <xf numFmtId="166" fontId="2" fillId="2" borderId="0" xfId="2" applyNumberFormat="1" applyFont="1" applyFill="1"/>
    <xf numFmtId="9" fontId="5" fillId="2" borderId="1" xfId="3" applyFont="1" applyFill="1" applyBorder="1"/>
    <xf numFmtId="0" fontId="11" fillId="0" borderId="0" xfId="0" applyFont="1"/>
    <xf numFmtId="0" fontId="12" fillId="0" borderId="0" xfId="0" applyFont="1" applyAlignment="1">
      <alignment horizontal="left"/>
    </xf>
    <xf numFmtId="14" fontId="0" fillId="0" borderId="0" xfId="0" quotePrefix="1" applyNumberFormat="1"/>
    <xf numFmtId="166" fontId="1" fillId="0" borderId="0" xfId="2" applyNumberFormat="1" applyAlignment="1">
      <alignment horizontal="right"/>
    </xf>
    <xf numFmtId="0" fontId="0" fillId="0" borderId="0" xfId="0" quotePrefix="1"/>
    <xf numFmtId="166" fontId="13" fillId="0" borderId="0" xfId="2" applyNumberFormat="1" applyFont="1"/>
    <xf numFmtId="9" fontId="5" fillId="0" borderId="0" xfId="3" applyFont="1"/>
    <xf numFmtId="166" fontId="1" fillId="0" borderId="0" xfId="2" applyNumberFormat="1" applyAlignment="1">
      <alignment horizontal="center"/>
    </xf>
    <xf numFmtId="0" fontId="0" fillId="0" borderId="0" xfId="0" applyAlignment="1">
      <alignment horizontal="center"/>
    </xf>
    <xf numFmtId="0" fontId="0" fillId="0" borderId="0" xfId="0" applyAlignment="1">
      <alignment horizontal="right"/>
    </xf>
    <xf numFmtId="166" fontId="0" fillId="0" borderId="0" xfId="2" applyNumberFormat="1" applyFont="1" applyAlignment="1">
      <alignment horizontal="right"/>
    </xf>
    <xf numFmtId="16" fontId="0" fillId="0" borderId="0" xfId="0" applyNumberFormat="1"/>
    <xf numFmtId="165" fontId="0" fillId="0" borderId="0" xfId="2" applyFont="1"/>
    <xf numFmtId="165" fontId="15" fillId="0" borderId="0" xfId="2" applyFont="1" applyAlignment="1">
      <alignment horizontal="center"/>
    </xf>
    <xf numFmtId="14" fontId="1" fillId="0" borderId="0" xfId="2" applyNumberFormat="1" applyAlignment="1">
      <alignment horizontal="center"/>
    </xf>
    <xf numFmtId="14" fontId="6" fillId="0" borderId="0" xfId="2" applyNumberFormat="1" applyFont="1" applyAlignment="1">
      <alignment horizontal="center"/>
    </xf>
    <xf numFmtId="166" fontId="10" fillId="0" borderId="0" xfId="2" applyNumberFormat="1" applyFont="1"/>
    <xf numFmtId="166" fontId="2" fillId="0" borderId="0" xfId="2" applyNumberFormat="1" applyFont="1"/>
    <xf numFmtId="165" fontId="0" fillId="0" borderId="0" xfId="2" applyFont="1" applyAlignment="1">
      <alignment horizontal="right"/>
    </xf>
    <xf numFmtId="165" fontId="11" fillId="0" borderId="0" xfId="2" applyFont="1"/>
    <xf numFmtId="9" fontId="0" fillId="0" borderId="0" xfId="3" applyFont="1"/>
    <xf numFmtId="9" fontId="0" fillId="0" borderId="0" xfId="3" quotePrefix="1" applyFont="1"/>
    <xf numFmtId="0" fontId="17" fillId="0" borderId="0" xfId="0" applyFont="1"/>
    <xf numFmtId="165" fontId="17" fillId="0" borderId="0" xfId="2" applyFont="1"/>
    <xf numFmtId="165" fontId="1" fillId="0" borderId="0" xfId="2"/>
    <xf numFmtId="165" fontId="13" fillId="0" borderId="0" xfId="2" applyFont="1"/>
    <xf numFmtId="165" fontId="16" fillId="0" borderId="0" xfId="2" applyFont="1"/>
    <xf numFmtId="165" fontId="0" fillId="0" borderId="0" xfId="0" applyNumberFormat="1"/>
    <xf numFmtId="165" fontId="13" fillId="0" borderId="0" xfId="0" applyNumberFormat="1" applyFont="1"/>
    <xf numFmtId="166" fontId="18" fillId="2" borderId="0" xfId="2" applyNumberFormat="1" applyFont="1" applyFill="1"/>
    <xf numFmtId="166" fontId="18" fillId="0" borderId="0" xfId="2" applyNumberFormat="1" applyFont="1"/>
    <xf numFmtId="166" fontId="18" fillId="2" borderId="1" xfId="2" applyNumberFormat="1" applyFont="1" applyFill="1" applyBorder="1"/>
    <xf numFmtId="166" fontId="0" fillId="0" borderId="0" xfId="0" applyNumberFormat="1"/>
    <xf numFmtId="9" fontId="1" fillId="0" borderId="0" xfId="3" quotePrefix="1"/>
    <xf numFmtId="9" fontId="1" fillId="0" borderId="0" xfId="3"/>
    <xf numFmtId="165" fontId="1" fillId="0" borderId="0" xfId="2" applyAlignment="1">
      <alignment horizontal="right"/>
    </xf>
    <xf numFmtId="0" fontId="0" fillId="3" borderId="0" xfId="0" applyFill="1"/>
    <xf numFmtId="0" fontId="0" fillId="3" borderId="0" xfId="0" applyFill="1" applyAlignment="1">
      <alignment wrapText="1"/>
    </xf>
    <xf numFmtId="0" fontId="0" fillId="4" borderId="0" xfId="0" applyFill="1" applyAlignment="1">
      <alignment wrapText="1"/>
    </xf>
    <xf numFmtId="0" fontId="0" fillId="4" borderId="0" xfId="0" applyFill="1" applyAlignment="1">
      <alignment vertical="top" wrapText="1"/>
    </xf>
    <xf numFmtId="14" fontId="0" fillId="3" borderId="0" xfId="0" applyNumberFormat="1" applyFill="1" applyAlignment="1">
      <alignment wrapText="1"/>
    </xf>
    <xf numFmtId="0" fontId="20" fillId="3" borderId="0" xfId="0" applyFont="1" applyFill="1" applyAlignment="1">
      <alignment wrapText="1"/>
    </xf>
    <xf numFmtId="0" fontId="20" fillId="3" borderId="0" xfId="0" applyFont="1" applyFill="1" applyAlignment="1">
      <alignment horizontal="left" wrapText="1"/>
    </xf>
    <xf numFmtId="0" fontId="0" fillId="4" borderId="0" xfId="0" applyFill="1" applyAlignment="1">
      <alignment horizontal="center" wrapText="1"/>
    </xf>
    <xf numFmtId="0" fontId="0" fillId="3" borderId="0" xfId="0" applyFill="1" applyAlignment="1">
      <alignment horizontal="center" wrapText="1"/>
    </xf>
    <xf numFmtId="4" fontId="0" fillId="3" borderId="0" xfId="0" applyNumberFormat="1" applyFill="1" applyAlignment="1">
      <alignment horizontal="right" wrapText="1"/>
    </xf>
    <xf numFmtId="0" fontId="0" fillId="3" borderId="0" xfId="0" applyFill="1" applyAlignment="1">
      <alignment horizontal="right" wrapText="1"/>
    </xf>
    <xf numFmtId="0" fontId="19" fillId="3" borderId="0" xfId="0" applyFont="1" applyFill="1"/>
    <xf numFmtId="166" fontId="9" fillId="0" borderId="0" xfId="2" applyNumberFormat="1" applyFont="1"/>
    <xf numFmtId="0" fontId="9" fillId="0" borderId="0" xfId="0" applyFont="1" applyAlignment="1">
      <alignment textRotation="90"/>
    </xf>
    <xf numFmtId="0" fontId="12" fillId="0" borderId="0" xfId="0" applyFont="1"/>
    <xf numFmtId="0" fontId="12" fillId="0" borderId="0" xfId="0" applyFont="1" applyAlignment="1">
      <alignment horizontal="right"/>
    </xf>
    <xf numFmtId="165" fontId="12" fillId="0" borderId="0" xfId="2" applyFont="1"/>
    <xf numFmtId="165" fontId="1" fillId="0" borderId="2" xfId="2" applyBorder="1"/>
    <xf numFmtId="0" fontId="22" fillId="0" borderId="0" xfId="0" applyFont="1" applyAlignment="1">
      <alignment vertical="center"/>
    </xf>
    <xf numFmtId="0" fontId="4" fillId="0" borderId="0" xfId="1" applyAlignment="1" applyProtection="1">
      <alignment vertical="center"/>
    </xf>
    <xf numFmtId="0" fontId="23" fillId="0" borderId="0" xfId="0" applyFont="1"/>
    <xf numFmtId="166" fontId="23" fillId="0" borderId="0" xfId="2" applyNumberFormat="1" applyFont="1" applyAlignment="1">
      <alignment horizontal="right"/>
    </xf>
    <xf numFmtId="165" fontId="0" fillId="0" borderId="0" xfId="2" applyFont="1" applyAlignment="1">
      <alignment horizontal="center"/>
    </xf>
    <xf numFmtId="165" fontId="12" fillId="0" borderId="0" xfId="0" applyNumberFormat="1" applyFont="1"/>
    <xf numFmtId="166" fontId="12" fillId="0" borderId="0" xfId="2" applyNumberFormat="1" applyFont="1" applyAlignment="1">
      <alignment horizontal="right"/>
    </xf>
    <xf numFmtId="0" fontId="12" fillId="7" borderId="0" xfId="0" applyFont="1" applyFill="1"/>
    <xf numFmtId="165" fontId="24" fillId="7" borderId="0" xfId="2" applyFont="1" applyFill="1"/>
    <xf numFmtId="165" fontId="11" fillId="7" borderId="0" xfId="2" applyFont="1" applyFill="1"/>
    <xf numFmtId="0" fontId="0" fillId="7" borderId="0" xfId="0" applyFill="1"/>
    <xf numFmtId="165" fontId="1" fillId="0" borderId="1" xfId="2" applyBorder="1"/>
    <xf numFmtId="165" fontId="5" fillId="0" borderId="0" xfId="2" applyFont="1"/>
    <xf numFmtId="165" fontId="23" fillId="0" borderId="0" xfId="2" applyFont="1"/>
    <xf numFmtId="166" fontId="23" fillId="0" borderId="0" xfId="2" applyNumberFormat="1" applyFont="1"/>
    <xf numFmtId="166" fontId="12" fillId="0" borderId="0" xfId="2" applyNumberFormat="1" applyFont="1"/>
    <xf numFmtId="0" fontId="9" fillId="0" borderId="0" xfId="0" applyFont="1" applyAlignment="1">
      <alignment textRotation="90" wrapText="1"/>
    </xf>
    <xf numFmtId="15" fontId="0" fillId="0" borderId="0" xfId="0" applyNumberFormat="1"/>
    <xf numFmtId="167" fontId="0" fillId="0" borderId="0" xfId="0" applyNumberFormat="1"/>
    <xf numFmtId="165" fontId="12" fillId="0" borderId="0" xfId="2" applyFont="1" applyAlignment="1">
      <alignment horizontal="center" vertical="center"/>
    </xf>
    <xf numFmtId="165" fontId="12" fillId="0" borderId="0" xfId="2" applyFont="1" applyAlignment="1">
      <alignment horizontal="center"/>
    </xf>
    <xf numFmtId="165" fontId="24" fillId="0" borderId="0" xfId="2" applyFont="1"/>
    <xf numFmtId="166" fontId="24" fillId="0" borderId="0" xfId="2" applyNumberFormat="1" applyFont="1"/>
    <xf numFmtId="0" fontId="12" fillId="0" borderId="0" xfId="0" applyFont="1" applyAlignment="1">
      <alignment wrapText="1"/>
    </xf>
    <xf numFmtId="0" fontId="0" fillId="0" borderId="0" xfId="0" applyAlignment="1">
      <alignment wrapText="1"/>
    </xf>
    <xf numFmtId="0" fontId="6" fillId="0" borderId="0" xfId="0" applyFont="1"/>
    <xf numFmtId="0" fontId="12" fillId="0" borderId="0" xfId="0" quotePrefix="1" applyFont="1"/>
    <xf numFmtId="0" fontId="25" fillId="0" borderId="0" xfId="0" applyFont="1"/>
    <xf numFmtId="0" fontId="9" fillId="7" borderId="0" xfId="0" applyFont="1" applyFill="1" applyAlignment="1">
      <alignment textRotation="90"/>
    </xf>
    <xf numFmtId="165" fontId="0" fillId="0" borderId="1" xfId="2" applyFont="1" applyBorder="1"/>
    <xf numFmtId="0" fontId="17" fillId="7" borderId="0" xfId="0" applyFont="1" applyFill="1"/>
    <xf numFmtId="165" fontId="17" fillId="7" borderId="0" xfId="2" applyFont="1" applyFill="1"/>
    <xf numFmtId="165" fontId="11" fillId="0" borderId="0" xfId="2" applyFont="1" applyAlignment="1">
      <alignment horizontal="center"/>
    </xf>
    <xf numFmtId="0" fontId="11" fillId="0" borderId="0" xfId="0" applyFont="1" applyAlignment="1">
      <alignment horizontal="right"/>
    </xf>
    <xf numFmtId="43" fontId="11" fillId="0" borderId="0" xfId="0" applyNumberFormat="1" applyFont="1"/>
    <xf numFmtId="168" fontId="0" fillId="0" borderId="0" xfId="0" applyNumberFormat="1"/>
    <xf numFmtId="168" fontId="1" fillId="0" borderId="0" xfId="2" applyNumberFormat="1" applyAlignment="1">
      <alignment horizontal="center"/>
    </xf>
    <xf numFmtId="164" fontId="0" fillId="0" borderId="0" xfId="2" applyNumberFormat="1" applyFont="1"/>
    <xf numFmtId="164" fontId="0" fillId="0" borderId="0" xfId="0" applyNumberFormat="1"/>
    <xf numFmtId="165" fontId="26" fillId="0" borderId="0" xfId="2" applyFont="1"/>
    <xf numFmtId="0" fontId="26" fillId="0" borderId="0" xfId="0" applyFont="1"/>
    <xf numFmtId="165" fontId="26" fillId="0" borderId="2" xfId="2" applyFont="1" applyBorder="1"/>
    <xf numFmtId="165" fontId="12" fillId="0" borderId="2" xfId="2" applyFont="1" applyBorder="1"/>
    <xf numFmtId="16" fontId="12" fillId="0" borderId="0" xfId="0" applyNumberFormat="1" applyFont="1"/>
    <xf numFmtId="165" fontId="9" fillId="0" borderId="0" xfId="2" applyFont="1" applyAlignment="1">
      <alignment textRotation="90"/>
    </xf>
    <xf numFmtId="165" fontId="9" fillId="0" borderId="0" xfId="2" applyFont="1" applyAlignment="1">
      <alignment textRotation="90" wrapText="1"/>
    </xf>
    <xf numFmtId="0" fontId="27" fillId="0" borderId="0" xfId="4" applyFont="1"/>
    <xf numFmtId="0" fontId="12" fillId="0" borderId="0" xfId="4"/>
    <xf numFmtId="0" fontId="11" fillId="0" borderId="0" xfId="1" applyFont="1" applyAlignment="1" applyProtection="1"/>
    <xf numFmtId="0" fontId="4" fillId="0" borderId="0" xfId="1" applyAlignment="1" applyProtection="1"/>
    <xf numFmtId="0" fontId="32" fillId="0" borderId="0" xfId="4" applyFont="1"/>
    <xf numFmtId="0" fontId="28" fillId="0" borderId="0" xfId="4" applyFont="1"/>
    <xf numFmtId="0" fontId="29" fillId="0" borderId="0" xfId="4" applyFont="1" applyAlignment="1">
      <alignment vertical="center"/>
    </xf>
    <xf numFmtId="0" fontId="30" fillId="0" borderId="0" xfId="1" applyFont="1" applyAlignment="1" applyProtection="1">
      <alignment vertical="center"/>
    </xf>
    <xf numFmtId="0" fontId="31" fillId="0" borderId="0" xfId="4" applyFont="1"/>
    <xf numFmtId="0" fontId="11" fillId="0" borderId="0" xfId="4" applyFont="1"/>
    <xf numFmtId="166" fontId="8" fillId="2" borderId="0" xfId="2" applyNumberFormat="1" applyFont="1" applyFill="1"/>
    <xf numFmtId="166" fontId="12" fillId="0" borderId="1" xfId="2" applyNumberFormat="1" applyFont="1" applyBorder="1"/>
    <xf numFmtId="165" fontId="12" fillId="7" borderId="0" xfId="2" applyFont="1" applyFill="1"/>
    <xf numFmtId="0" fontId="35" fillId="0" borderId="0" xfId="0" applyFont="1"/>
    <xf numFmtId="165" fontId="35" fillId="0" borderId="0" xfId="2" applyFont="1"/>
    <xf numFmtId="0" fontId="35" fillId="7" borderId="0" xfId="0" applyFont="1" applyFill="1"/>
    <xf numFmtId="165" fontId="0" fillId="0" borderId="2" xfId="2" applyFont="1" applyBorder="1"/>
    <xf numFmtId="0" fontId="12" fillId="8" borderId="0" xfId="0" applyFont="1" applyFill="1" applyAlignment="1">
      <alignment wrapText="1"/>
    </xf>
    <xf numFmtId="0" fontId="0" fillId="8" borderId="0" xfId="0" applyFill="1" applyAlignment="1">
      <alignment wrapText="1"/>
    </xf>
    <xf numFmtId="165" fontId="0" fillId="0" borderId="0" xfId="2" applyFont="1" applyBorder="1"/>
    <xf numFmtId="16" fontId="36" fillId="0" borderId="0" xfId="0" applyNumberFormat="1" applyFont="1"/>
    <xf numFmtId="0" fontId="11" fillId="8" borderId="0" xfId="0" applyFont="1" applyFill="1"/>
    <xf numFmtId="0" fontId="12" fillId="8" borderId="0" xfId="0" applyFont="1" applyFill="1" applyAlignment="1">
      <alignment horizontal="right"/>
    </xf>
    <xf numFmtId="165" fontId="11" fillId="8" borderId="0" xfId="2" applyFont="1" applyFill="1"/>
    <xf numFmtId="0" fontId="0" fillId="8" borderId="0" xfId="0" applyFill="1"/>
    <xf numFmtId="165" fontId="25" fillId="0" borderId="0" xfId="0" applyNumberFormat="1" applyFont="1"/>
    <xf numFmtId="165" fontId="1" fillId="0" borderId="0" xfId="2" applyFont="1"/>
    <xf numFmtId="0" fontId="1" fillId="0" borderId="0" xfId="0" applyFont="1"/>
    <xf numFmtId="0" fontId="1" fillId="0" borderId="0" xfId="0" applyFont="1" applyAlignment="1">
      <alignment horizontal="right"/>
    </xf>
    <xf numFmtId="165" fontId="6" fillId="0" borderId="0" xfId="0" applyNumberFormat="1" applyFont="1"/>
    <xf numFmtId="165" fontId="11" fillId="0" borderId="0" xfId="2" applyFont="1" applyFill="1"/>
    <xf numFmtId="165" fontId="1" fillId="0" borderId="0" xfId="2" applyFont="1" applyBorder="1"/>
    <xf numFmtId="0" fontId="15" fillId="0" borderId="0" xfId="0" applyFont="1"/>
    <xf numFmtId="165" fontId="37" fillId="0" borderId="0" xfId="2" applyFont="1"/>
    <xf numFmtId="0" fontId="37" fillId="0" borderId="0" xfId="0" applyFont="1"/>
    <xf numFmtId="165" fontId="6" fillId="0" borderId="0" xfId="2" applyFont="1"/>
    <xf numFmtId="165" fontId="6" fillId="0" borderId="0" xfId="2" applyFont="1" applyAlignment="1">
      <alignment horizontal="left"/>
    </xf>
    <xf numFmtId="0" fontId="36" fillId="0" borderId="0" xfId="0" applyFont="1"/>
    <xf numFmtId="16" fontId="1" fillId="0" borderId="0" xfId="0" applyNumberFormat="1" applyFont="1"/>
    <xf numFmtId="165" fontId="1" fillId="7" borderId="0" xfId="2" applyFont="1" applyFill="1"/>
    <xf numFmtId="165" fontId="1" fillId="0" borderId="0" xfId="0" applyNumberFormat="1" applyFont="1"/>
    <xf numFmtId="0" fontId="11" fillId="0" borderId="0" xfId="0" applyFont="1" applyAlignment="1">
      <alignment horizontal="left"/>
    </xf>
    <xf numFmtId="165" fontId="1" fillId="0" borderId="0" xfId="2" applyFont="1" applyAlignment="1">
      <alignment horizontal="right"/>
    </xf>
    <xf numFmtId="165" fontId="1" fillId="0" borderId="2" xfId="2" applyFont="1" applyBorder="1"/>
    <xf numFmtId="166" fontId="0" fillId="0" borderId="2" xfId="2" applyNumberFormat="1" applyFont="1" applyBorder="1"/>
    <xf numFmtId="166" fontId="11" fillId="0" borderId="0" xfId="2" applyNumberFormat="1" applyFont="1" applyAlignment="1">
      <alignment horizontal="right"/>
    </xf>
    <xf numFmtId="166" fontId="11" fillId="0" borderId="0" xfId="2" applyNumberFormat="1" applyFont="1"/>
    <xf numFmtId="166" fontId="5" fillId="9" borderId="0" xfId="2" applyNumberFormat="1" applyFont="1" applyFill="1"/>
    <xf numFmtId="166" fontId="10" fillId="9" borderId="0" xfId="2" applyNumberFormat="1" applyFont="1" applyFill="1"/>
    <xf numFmtId="9" fontId="5" fillId="9" borderId="0" xfId="3" applyFont="1" applyFill="1"/>
    <xf numFmtId="166" fontId="5" fillId="9" borderId="1" xfId="2" applyNumberFormat="1" applyFont="1" applyFill="1" applyBorder="1"/>
    <xf numFmtId="166" fontId="2" fillId="9" borderId="0" xfId="2" applyNumberFormat="1" applyFont="1" applyFill="1"/>
    <xf numFmtId="166" fontId="18" fillId="9" borderId="0" xfId="2" applyNumberFormat="1" applyFont="1" applyFill="1"/>
    <xf numFmtId="166" fontId="5" fillId="10" borderId="0" xfId="2" applyNumberFormat="1" applyFont="1" applyFill="1"/>
    <xf numFmtId="166" fontId="9" fillId="10" borderId="0" xfId="2" applyNumberFormat="1" applyFont="1" applyFill="1"/>
    <xf numFmtId="166" fontId="1" fillId="10" borderId="0" xfId="2" applyNumberFormat="1" applyFont="1" applyFill="1" applyAlignment="1">
      <alignment horizontal="right"/>
    </xf>
    <xf numFmtId="166" fontId="0" fillId="10" borderId="0" xfId="2" applyNumberFormat="1" applyFont="1" applyFill="1"/>
    <xf numFmtId="166" fontId="0" fillId="10" borderId="2" xfId="2" applyNumberFormat="1" applyFont="1" applyFill="1" applyBorder="1"/>
    <xf numFmtId="166" fontId="11" fillId="10" borderId="0" xfId="2" applyNumberFormat="1" applyFont="1" applyFill="1" applyAlignment="1">
      <alignment horizontal="right"/>
    </xf>
    <xf numFmtId="166" fontId="9" fillId="10" borderId="2" xfId="2" applyNumberFormat="1" applyFont="1" applyFill="1" applyBorder="1"/>
    <xf numFmtId="165" fontId="5" fillId="2" borderId="0" xfId="2" applyFont="1" applyFill="1"/>
    <xf numFmtId="165" fontId="5" fillId="2" borderId="1" xfId="2" applyFont="1" applyFill="1" applyBorder="1"/>
    <xf numFmtId="0" fontId="25" fillId="0" borderId="0" xfId="0" applyFont="1" applyAlignment="1">
      <alignment horizontal="right"/>
    </xf>
    <xf numFmtId="166" fontId="1" fillId="0" borderId="0" xfId="2" applyNumberFormat="1" applyAlignment="1"/>
    <xf numFmtId="165" fontId="1" fillId="0" borderId="0" xfId="2" applyAlignment="1"/>
    <xf numFmtId="165" fontId="25" fillId="0" borderId="0" xfId="2" applyFont="1" applyAlignment="1">
      <alignment horizontal="right"/>
    </xf>
    <xf numFmtId="165" fontId="1" fillId="0" borderId="0" xfId="2" applyFont="1" applyFill="1"/>
    <xf numFmtId="43" fontId="6" fillId="0" borderId="0" xfId="0" applyNumberFormat="1" applyFont="1"/>
    <xf numFmtId="166" fontId="10" fillId="10" borderId="0" xfId="2" applyNumberFormat="1" applyFont="1" applyFill="1"/>
    <xf numFmtId="9" fontId="5" fillId="10" borderId="0" xfId="3" applyFont="1" applyFill="1"/>
    <xf numFmtId="166" fontId="5" fillId="10" borderId="1" xfId="2" applyNumberFormat="1" applyFont="1" applyFill="1" applyBorder="1"/>
    <xf numFmtId="166" fontId="2" fillId="10" borderId="0" xfId="2" applyNumberFormat="1" applyFont="1" applyFill="1"/>
    <xf numFmtId="166" fontId="18" fillId="10" borderId="0" xfId="2" applyNumberFormat="1" applyFont="1" applyFill="1"/>
    <xf numFmtId="166" fontId="0" fillId="0" borderId="0" xfId="2" applyNumberFormat="1" applyFont="1" applyBorder="1"/>
    <xf numFmtId="166" fontId="38" fillId="10" borderId="1" xfId="2" applyNumberFormat="1" applyFont="1" applyFill="1" applyBorder="1"/>
    <xf numFmtId="0" fontId="38" fillId="0" borderId="0" xfId="0" applyFont="1"/>
    <xf numFmtId="166" fontId="38" fillId="10" borderId="0" xfId="2" applyNumberFormat="1" applyFont="1" applyFill="1"/>
    <xf numFmtId="166" fontId="39" fillId="10" borderId="0" xfId="2" applyNumberFormat="1" applyFont="1" applyFill="1"/>
    <xf numFmtId="9" fontId="38" fillId="10" borderId="0" xfId="3" applyFont="1" applyFill="1"/>
    <xf numFmtId="166" fontId="40" fillId="10" borderId="0" xfId="2" applyNumberFormat="1" applyFont="1" applyFill="1"/>
    <xf numFmtId="166" fontId="38" fillId="0" borderId="0" xfId="0" applyNumberFormat="1" applyFont="1"/>
    <xf numFmtId="166" fontId="38" fillId="0" borderId="0" xfId="2" applyNumberFormat="1" applyFont="1"/>
    <xf numFmtId="166" fontId="38" fillId="10" borderId="0" xfId="2" applyNumberFormat="1" applyFont="1" applyFill="1" applyAlignment="1">
      <alignment horizontal="right"/>
    </xf>
    <xf numFmtId="166" fontId="40" fillId="10" borderId="0" xfId="2" applyNumberFormat="1" applyFont="1" applyFill="1" applyAlignment="1">
      <alignment horizontal="right"/>
    </xf>
    <xf numFmtId="166" fontId="38" fillId="10" borderId="0" xfId="2" applyNumberFormat="1" applyFont="1" applyFill="1" applyBorder="1"/>
    <xf numFmtId="166" fontId="39" fillId="10" borderId="1" xfId="2" applyNumberFormat="1" applyFont="1" applyFill="1" applyBorder="1"/>
    <xf numFmtId="166" fontId="1" fillId="0" borderId="0" xfId="2" applyNumberFormat="1" applyFont="1" applyAlignment="1">
      <alignment horizontal="right"/>
    </xf>
    <xf numFmtId="166" fontId="25" fillId="0" borderId="0" xfId="2" applyNumberFormat="1" applyFont="1" applyAlignment="1">
      <alignment horizontal="right"/>
    </xf>
    <xf numFmtId="166" fontId="1" fillId="0" borderId="0" xfId="2" applyNumberFormat="1" applyFont="1"/>
    <xf numFmtId="166" fontId="1" fillId="0" borderId="2" xfId="2" applyNumberFormat="1" applyFont="1" applyBorder="1"/>
    <xf numFmtId="165" fontId="23" fillId="0" borderId="0" xfId="2" applyFont="1" applyAlignment="1"/>
    <xf numFmtId="165" fontId="6" fillId="0" borderId="0" xfId="2" applyFont="1" applyAlignment="1">
      <alignment wrapText="1"/>
    </xf>
    <xf numFmtId="165" fontId="11" fillId="0" borderId="0" xfId="0" applyNumberFormat="1" applyFont="1"/>
    <xf numFmtId="0" fontId="37" fillId="0" borderId="0" xfId="0" applyFont="1" applyAlignment="1">
      <alignment horizontal="right" wrapText="1"/>
    </xf>
    <xf numFmtId="166" fontId="5" fillId="2" borderId="0" xfId="2" applyNumberFormat="1" applyFont="1" applyFill="1" applyBorder="1"/>
    <xf numFmtId="165" fontId="1" fillId="0" borderId="2" xfId="0" applyNumberFormat="1" applyFont="1" applyBorder="1"/>
    <xf numFmtId="43" fontId="0" fillId="0" borderId="0" xfId="0" applyNumberFormat="1"/>
    <xf numFmtId="43" fontId="35" fillId="0" borderId="0" xfId="0" applyNumberFormat="1" applyFont="1"/>
    <xf numFmtId="4" fontId="0" fillId="0" borderId="0" xfId="0" applyNumberFormat="1"/>
    <xf numFmtId="166" fontId="0" fillId="0" borderId="0" xfId="2" applyNumberFormat="1" applyFont="1" applyFill="1"/>
    <xf numFmtId="166" fontId="0" fillId="0" borderId="0" xfId="2" applyNumberFormat="1" applyFont="1" applyFill="1" applyBorder="1"/>
    <xf numFmtId="165" fontId="11" fillId="0" borderId="0" xfId="2" applyFont="1" applyBorder="1"/>
    <xf numFmtId="43" fontId="9" fillId="0" borderId="0" xfId="0" applyNumberFormat="1" applyFont="1"/>
    <xf numFmtId="166" fontId="0" fillId="0" borderId="1" xfId="2" applyNumberFormat="1" applyFont="1" applyFill="1" applyBorder="1"/>
    <xf numFmtId="3" fontId="0" fillId="0" borderId="0" xfId="0" applyNumberFormat="1"/>
    <xf numFmtId="3" fontId="0" fillId="0" borderId="1" xfId="0" applyNumberFormat="1" applyBorder="1"/>
    <xf numFmtId="3" fontId="1" fillId="0" borderId="0" xfId="0" applyNumberFormat="1" applyFont="1"/>
    <xf numFmtId="0" fontId="16" fillId="0" borderId="0" xfId="0" applyFont="1"/>
    <xf numFmtId="0" fontId="1" fillId="0" borderId="0" xfId="0" applyFont="1" applyAlignment="1" applyProtection="1">
      <alignment wrapText="1"/>
      <protection locked="0"/>
    </xf>
    <xf numFmtId="0" fontId="0" fillId="0" borderId="0" xfId="0" applyAlignment="1" applyProtection="1">
      <alignment wrapText="1"/>
      <protection locked="0"/>
    </xf>
    <xf numFmtId="166" fontId="6" fillId="0" borderId="5" xfId="2" applyNumberFormat="1" applyFont="1" applyBorder="1" applyAlignment="1">
      <alignment horizontal="center"/>
    </xf>
    <xf numFmtId="0" fontId="0" fillId="0" borderId="6" xfId="0" applyBorder="1" applyAlignment="1">
      <alignment horizontal="center"/>
    </xf>
    <xf numFmtId="166" fontId="14" fillId="0" borderId="5" xfId="2" applyNumberFormat="1" applyFont="1" applyBorder="1" applyAlignment="1">
      <alignment horizontal="center"/>
    </xf>
    <xf numFmtId="0" fontId="0" fillId="0" borderId="3" xfId="0" applyBorder="1" applyAlignment="1">
      <alignment horizontal="center" vertical="top"/>
    </xf>
    <xf numFmtId="0" fontId="0" fillId="0" borderId="4" xfId="0" applyBorder="1" applyAlignment="1">
      <alignment horizontal="center" vertical="top"/>
    </xf>
    <xf numFmtId="166" fontId="1" fillId="0" borderId="3" xfId="2" quotePrefix="1" applyNumberFormat="1" applyFont="1" applyBorder="1" applyAlignment="1">
      <alignment horizontal="center"/>
    </xf>
    <xf numFmtId="166" fontId="1" fillId="0" borderId="4" xfId="2" applyNumberFormat="1" applyBorder="1" applyAlignment="1">
      <alignment horizontal="center"/>
    </xf>
    <xf numFmtId="0" fontId="1" fillId="0" borderId="0" xfId="0" applyFont="1" applyAlignment="1">
      <alignment wrapText="1"/>
    </xf>
    <xf numFmtId="0" fontId="0" fillId="0" borderId="0" xfId="0" applyAlignment="1">
      <alignment wrapText="1"/>
    </xf>
    <xf numFmtId="168" fontId="1" fillId="0" borderId="3" xfId="2" applyNumberFormat="1" applyBorder="1" applyAlignment="1">
      <alignment horizontal="center"/>
    </xf>
    <xf numFmtId="168" fontId="1" fillId="0" borderId="4" xfId="2" applyNumberFormat="1" applyBorder="1" applyAlignment="1">
      <alignment horizontal="center"/>
    </xf>
    <xf numFmtId="168" fontId="0" fillId="0" borderId="3" xfId="0" applyNumberFormat="1" applyBorder="1" applyAlignment="1">
      <alignment horizontal="center"/>
    </xf>
    <xf numFmtId="0" fontId="0" fillId="0" borderId="4" xfId="0" applyBorder="1" applyAlignment="1">
      <alignment horizontal="center"/>
    </xf>
    <xf numFmtId="14" fontId="6" fillId="0" borderId="5" xfId="2" applyNumberFormat="1" applyFont="1" applyBorder="1" applyAlignment="1">
      <alignment horizontal="center"/>
    </xf>
    <xf numFmtId="14" fontId="6" fillId="0" borderId="6" xfId="2" applyNumberFormat="1" applyFont="1" applyBorder="1" applyAlignment="1">
      <alignment horizontal="center"/>
    </xf>
    <xf numFmtId="168" fontId="0" fillId="0" borderId="3" xfId="0" applyNumberFormat="1" applyBorder="1"/>
    <xf numFmtId="0" fontId="0" fillId="0" borderId="4" xfId="0" applyBorder="1"/>
    <xf numFmtId="168" fontId="1" fillId="0" borderId="0" xfId="2" applyNumberFormat="1" applyAlignment="1">
      <alignment horizontal="center"/>
    </xf>
    <xf numFmtId="14" fontId="6" fillId="0" borderId="0" xfId="2" applyNumberFormat="1" applyFont="1" applyAlignment="1">
      <alignment horizontal="center"/>
    </xf>
    <xf numFmtId="166" fontId="12" fillId="0" borderId="3" xfId="2" quotePrefix="1" applyNumberFormat="1" applyFont="1" applyBorder="1" applyAlignment="1">
      <alignment horizontal="center"/>
    </xf>
    <xf numFmtId="166" fontId="12" fillId="0" borderId="3" xfId="2" applyNumberFormat="1" applyFont="1" applyBorder="1" applyAlignment="1">
      <alignment horizontal="center"/>
    </xf>
    <xf numFmtId="166" fontId="1" fillId="0" borderId="3" xfId="2" quotePrefix="1" applyNumberFormat="1" applyBorder="1" applyAlignment="1">
      <alignment horizontal="center"/>
    </xf>
    <xf numFmtId="165" fontId="6" fillId="0" borderId="0" xfId="2" applyFont="1" applyAlignment="1">
      <alignment wrapText="1"/>
    </xf>
    <xf numFmtId="0" fontId="25" fillId="0" borderId="0" xfId="0" applyFont="1" applyAlignment="1">
      <alignment wrapText="1"/>
    </xf>
    <xf numFmtId="0" fontId="1" fillId="8" borderId="0" xfId="0" applyFont="1" applyFill="1" applyAlignment="1">
      <alignment wrapText="1"/>
    </xf>
    <xf numFmtId="0" fontId="12" fillId="8" borderId="0" xfId="0" applyFont="1" applyFill="1" applyAlignment="1">
      <alignment wrapText="1"/>
    </xf>
    <xf numFmtId="0" fontId="0" fillId="8" borderId="0" xfId="0" applyFill="1" applyAlignment="1">
      <alignment wrapText="1"/>
    </xf>
    <xf numFmtId="0" fontId="12" fillId="8" borderId="0" xfId="0" applyFont="1" applyFill="1" applyAlignment="1">
      <alignment horizontal="left" wrapText="1"/>
    </xf>
    <xf numFmtId="0" fontId="11" fillId="0" borderId="0" xfId="0" applyFont="1" applyAlignment="1">
      <alignment wrapText="1"/>
    </xf>
    <xf numFmtId="0" fontId="33" fillId="0" borderId="0" xfId="4" applyFont="1" applyAlignment="1">
      <alignment vertical="center" wrapText="1"/>
    </xf>
    <xf numFmtId="0" fontId="12" fillId="0" borderId="0" xfId="4" applyAlignment="1">
      <alignment wrapText="1"/>
    </xf>
    <xf numFmtId="0" fontId="34" fillId="0" borderId="0" xfId="4" applyFont="1" applyAlignment="1">
      <alignment vertical="center" wrapText="1"/>
    </xf>
    <xf numFmtId="0" fontId="26" fillId="0" borderId="0" xfId="0" applyFont="1" applyAlignment="1">
      <alignment wrapText="1"/>
    </xf>
    <xf numFmtId="0" fontId="12" fillId="0" borderId="0" xfId="0" applyFont="1" applyAlignment="1">
      <alignment wrapText="1"/>
    </xf>
    <xf numFmtId="14" fontId="1" fillId="0" borderId="0" xfId="2" applyNumberFormat="1" applyAlignment="1">
      <alignment horizontal="center"/>
    </xf>
    <xf numFmtId="166" fontId="12" fillId="0" borderId="4" xfId="2" quotePrefix="1" applyNumberFormat="1" applyFont="1" applyBorder="1" applyAlignment="1">
      <alignment horizontal="center"/>
    </xf>
    <xf numFmtId="166" fontId="14" fillId="0" borderId="6" xfId="2" applyNumberFormat="1" applyFont="1" applyBorder="1" applyAlignment="1">
      <alignment horizontal="center"/>
    </xf>
    <xf numFmtId="166" fontId="1" fillId="0" borderId="0" xfId="2" quotePrefix="1" applyNumberFormat="1" applyAlignment="1">
      <alignment horizontal="center"/>
    </xf>
    <xf numFmtId="166" fontId="1" fillId="0" borderId="0" xfId="2" applyNumberFormat="1" applyAlignment="1">
      <alignment horizontal="center"/>
    </xf>
    <xf numFmtId="166" fontId="14" fillId="0" borderId="0" xfId="2" applyNumberFormat="1" applyFont="1" applyAlignment="1">
      <alignment horizontal="center"/>
    </xf>
    <xf numFmtId="0" fontId="0" fillId="0" borderId="0" xfId="0" applyAlignment="1">
      <alignment horizontal="center"/>
    </xf>
    <xf numFmtId="166" fontId="1" fillId="0" borderId="3" xfId="2" applyNumberFormat="1" applyBorder="1" applyAlignment="1">
      <alignment horizontal="center"/>
    </xf>
    <xf numFmtId="0" fontId="0" fillId="4" borderId="0" xfId="0" applyFill="1" applyAlignment="1">
      <alignment wrapText="1"/>
    </xf>
    <xf numFmtId="0" fontId="0" fillId="4" borderId="0" xfId="0" applyFill="1" applyAlignment="1">
      <alignment vertical="top" wrapText="1"/>
    </xf>
    <xf numFmtId="0" fontId="0" fillId="4" borderId="0" xfId="0" applyFill="1" applyAlignment="1">
      <alignment horizontal="right" wrapText="1"/>
    </xf>
    <xf numFmtId="0" fontId="0" fillId="3" borderId="0" xfId="0" applyFill="1" applyAlignment="1">
      <alignment wrapText="1"/>
    </xf>
    <xf numFmtId="0" fontId="21" fillId="5" borderId="0" xfId="0" applyFont="1" applyFill="1" applyAlignment="1">
      <alignment horizontal="center" wrapText="1"/>
    </xf>
    <xf numFmtId="0" fontId="21" fillId="6" borderId="0" xfId="0" applyFont="1" applyFill="1" applyAlignment="1">
      <alignment horizontal="center" wrapText="1"/>
    </xf>
    <xf numFmtId="166" fontId="0" fillId="0" borderId="0" xfId="2" applyNumberFormat="1" applyFont="1" applyAlignment="1">
      <alignment horizontal="right"/>
    </xf>
    <xf numFmtId="14" fontId="1" fillId="0" borderId="0" xfId="2" applyNumberFormat="1" applyAlignment="1">
      <alignment horizontal="right"/>
    </xf>
  </cellXfs>
  <cellStyles count="5">
    <cellStyle name="Hyperlink" xfId="1" builtinId="8"/>
    <cellStyle name="Komma" xfId="2" builtinId="3"/>
    <cellStyle name="Procent" xfId="3" builtinId="5"/>
    <cellStyle name="Standaard" xfId="0" builtinId="0"/>
    <cellStyle name="Standaard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0</xdr:row>
      <xdr:rowOff>0</xdr:rowOff>
    </xdr:from>
    <xdr:to>
      <xdr:col>6</xdr:col>
      <xdr:colOff>85725</xdr:colOff>
      <xdr:row>0</xdr:row>
      <xdr:rowOff>104775</xdr:rowOff>
    </xdr:to>
    <xdr:pic>
      <xdr:nvPicPr>
        <xdr:cNvPr id="32862" name="Picture 1" descr="trans">
          <a:extLst>
            <a:ext uri="{FF2B5EF4-FFF2-40B4-BE49-F238E27FC236}">
              <a16:creationId xmlns:a16="http://schemas.microsoft.com/office/drawing/2014/main" id="{69EF9567-EA5A-4552-84E1-FBC352AC3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0"/>
          <a:ext cx="8572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104775</xdr:colOff>
      <xdr:row>1</xdr:row>
      <xdr:rowOff>95250</xdr:rowOff>
    </xdr:to>
    <xdr:pic>
      <xdr:nvPicPr>
        <xdr:cNvPr id="32863" name="Picture 3" descr="trans">
          <a:extLst>
            <a:ext uri="{FF2B5EF4-FFF2-40B4-BE49-F238E27FC236}">
              <a16:creationId xmlns:a16="http://schemas.microsoft.com/office/drawing/2014/main" id="{7BD4BE07-6FCC-444A-A8C4-79005C96C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xdr:row>
      <xdr:rowOff>0</xdr:rowOff>
    </xdr:from>
    <xdr:to>
      <xdr:col>7</xdr:col>
      <xdr:colOff>85725</xdr:colOff>
      <xdr:row>1</xdr:row>
      <xdr:rowOff>95250</xdr:rowOff>
    </xdr:to>
    <xdr:pic>
      <xdr:nvPicPr>
        <xdr:cNvPr id="32864" name="Picture 4" descr="trans">
          <a:extLst>
            <a:ext uri="{FF2B5EF4-FFF2-40B4-BE49-F238E27FC236}">
              <a16:creationId xmlns:a16="http://schemas.microsoft.com/office/drawing/2014/main" id="{2F6D080F-8DA3-4FFA-A5F2-11F3D8291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142875"/>
          <a:ext cx="857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104775</xdr:colOff>
      <xdr:row>1</xdr:row>
      <xdr:rowOff>9525</xdr:rowOff>
    </xdr:to>
    <xdr:pic>
      <xdr:nvPicPr>
        <xdr:cNvPr id="32865" name="Picture 5" descr="trans">
          <a:extLst>
            <a:ext uri="{FF2B5EF4-FFF2-40B4-BE49-F238E27FC236}">
              <a16:creationId xmlns:a16="http://schemas.microsoft.com/office/drawing/2014/main" id="{BBA7E6D6-154A-4F14-94F6-9DD43215C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714375</xdr:colOff>
      <xdr:row>1</xdr:row>
      <xdr:rowOff>9525</xdr:rowOff>
    </xdr:to>
    <xdr:pic>
      <xdr:nvPicPr>
        <xdr:cNvPr id="32866" name="Picture 6" descr="trans">
          <a:extLst>
            <a:ext uri="{FF2B5EF4-FFF2-40B4-BE49-F238E27FC236}">
              <a16:creationId xmlns:a16="http://schemas.microsoft.com/office/drawing/2014/main" id="{0EF90917-3F73-4684-9480-C5648AB71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7143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342900</xdr:colOff>
      <xdr:row>1</xdr:row>
      <xdr:rowOff>9525</xdr:rowOff>
    </xdr:to>
    <xdr:pic>
      <xdr:nvPicPr>
        <xdr:cNvPr id="32867" name="Picture 7" descr="trans">
          <a:extLst>
            <a:ext uri="{FF2B5EF4-FFF2-40B4-BE49-F238E27FC236}">
              <a16:creationId xmlns:a16="http://schemas.microsoft.com/office/drawing/2014/main" id="{497B3E50-F5DF-49DF-94A4-C252E8AC4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0" y="142875"/>
          <a:ext cx="3429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3</xdr:col>
      <xdr:colOff>28575</xdr:colOff>
      <xdr:row>1</xdr:row>
      <xdr:rowOff>9525</xdr:rowOff>
    </xdr:to>
    <xdr:pic>
      <xdr:nvPicPr>
        <xdr:cNvPr id="32868" name="Picture 8" descr="trans">
          <a:extLst>
            <a:ext uri="{FF2B5EF4-FFF2-40B4-BE49-F238E27FC236}">
              <a16:creationId xmlns:a16="http://schemas.microsoft.com/office/drawing/2014/main" id="{C0503EA9-516B-4EF1-A944-377C08D32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142875"/>
          <a:ext cx="895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5</xdr:col>
      <xdr:colOff>28575</xdr:colOff>
      <xdr:row>1</xdr:row>
      <xdr:rowOff>9525</xdr:rowOff>
    </xdr:to>
    <xdr:pic>
      <xdr:nvPicPr>
        <xdr:cNvPr id="32869" name="Picture 9" descr="trans">
          <a:extLst>
            <a:ext uri="{FF2B5EF4-FFF2-40B4-BE49-F238E27FC236}">
              <a16:creationId xmlns:a16="http://schemas.microsoft.com/office/drawing/2014/main" id="{F6E47299-C5DB-43E8-9591-FF6794049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142875"/>
          <a:ext cx="20859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152400</xdr:colOff>
      <xdr:row>1</xdr:row>
      <xdr:rowOff>9525</xdr:rowOff>
    </xdr:to>
    <xdr:pic>
      <xdr:nvPicPr>
        <xdr:cNvPr id="32870" name="Picture 10" descr="trans">
          <a:extLst>
            <a:ext uri="{FF2B5EF4-FFF2-40B4-BE49-F238E27FC236}">
              <a16:creationId xmlns:a16="http://schemas.microsoft.com/office/drawing/2014/main" id="{DF05F760-6A3E-451D-AC27-38AA19B83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142875"/>
          <a:ext cx="1524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xdr:row>
      <xdr:rowOff>0</xdr:rowOff>
    </xdr:from>
    <xdr:to>
      <xdr:col>6</xdr:col>
      <xdr:colOff>304800</xdr:colOff>
      <xdr:row>1</xdr:row>
      <xdr:rowOff>9525</xdr:rowOff>
    </xdr:to>
    <xdr:pic>
      <xdr:nvPicPr>
        <xdr:cNvPr id="32871" name="Picture 11" descr="trans">
          <a:extLst>
            <a:ext uri="{FF2B5EF4-FFF2-40B4-BE49-F238E27FC236}">
              <a16:creationId xmlns:a16="http://schemas.microsoft.com/office/drawing/2014/main" id="{B6EF1087-929F-4A84-8AEF-9013B4D43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42875"/>
          <a:ext cx="4667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xdr:row>
      <xdr:rowOff>0</xdr:rowOff>
    </xdr:from>
    <xdr:to>
      <xdr:col>7</xdr:col>
      <xdr:colOff>85725</xdr:colOff>
      <xdr:row>1</xdr:row>
      <xdr:rowOff>9525</xdr:rowOff>
    </xdr:to>
    <xdr:pic>
      <xdr:nvPicPr>
        <xdr:cNvPr id="32872" name="Picture 12" descr="trans">
          <a:extLst>
            <a:ext uri="{FF2B5EF4-FFF2-40B4-BE49-F238E27FC236}">
              <a16:creationId xmlns:a16="http://schemas.microsoft.com/office/drawing/2014/main" id="{A5EF98DC-4D8F-417E-BCF8-9FD3BA262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142875"/>
          <a:ext cx="857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104775</xdr:colOff>
      <xdr:row>2</xdr:row>
      <xdr:rowOff>104775</xdr:rowOff>
    </xdr:to>
    <xdr:pic>
      <xdr:nvPicPr>
        <xdr:cNvPr id="32873" name="Picture 13" descr="trans">
          <a:extLst>
            <a:ext uri="{FF2B5EF4-FFF2-40B4-BE49-F238E27FC236}">
              <a16:creationId xmlns:a16="http://schemas.microsoft.com/office/drawing/2014/main" id="{E92F3B82-39D9-4EB9-9FB2-DD660A7A9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95250</xdr:colOff>
      <xdr:row>2</xdr:row>
      <xdr:rowOff>104775</xdr:rowOff>
    </xdr:to>
    <xdr:pic>
      <xdr:nvPicPr>
        <xdr:cNvPr id="32874" name="Picture 14" descr="trans">
          <a:extLst>
            <a:ext uri="{FF2B5EF4-FFF2-40B4-BE49-F238E27FC236}">
              <a16:creationId xmlns:a16="http://schemas.microsoft.com/office/drawing/2014/main" id="{6B522C73-F364-4AE2-8BFB-7113ECEAC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0" y="30480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xdr:row>
      <xdr:rowOff>0</xdr:rowOff>
    </xdr:from>
    <xdr:to>
      <xdr:col>7</xdr:col>
      <xdr:colOff>85725</xdr:colOff>
      <xdr:row>2</xdr:row>
      <xdr:rowOff>104775</xdr:rowOff>
    </xdr:to>
    <xdr:pic>
      <xdr:nvPicPr>
        <xdr:cNvPr id="32875" name="Picture 15" descr="trans">
          <a:extLst>
            <a:ext uri="{FF2B5EF4-FFF2-40B4-BE49-F238E27FC236}">
              <a16:creationId xmlns:a16="http://schemas.microsoft.com/office/drawing/2014/main" id="{D48813B4-07F2-4DDC-91D6-D98017B0A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304800"/>
          <a:ext cx="8572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104775</xdr:colOff>
      <xdr:row>3</xdr:row>
      <xdr:rowOff>95250</xdr:rowOff>
    </xdr:to>
    <xdr:pic>
      <xdr:nvPicPr>
        <xdr:cNvPr id="32876" name="Picture 16" descr="trans">
          <a:extLst>
            <a:ext uri="{FF2B5EF4-FFF2-40B4-BE49-F238E27FC236}">
              <a16:creationId xmlns:a16="http://schemas.microsoft.com/office/drawing/2014/main" id="{E8AB7BE1-EAC0-4F84-B532-6E84DCFB8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67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95250</xdr:colOff>
      <xdr:row>3</xdr:row>
      <xdr:rowOff>95250</xdr:rowOff>
    </xdr:to>
    <xdr:pic>
      <xdr:nvPicPr>
        <xdr:cNvPr id="32877" name="Picture 17" descr="trans">
          <a:extLst>
            <a:ext uri="{FF2B5EF4-FFF2-40B4-BE49-F238E27FC236}">
              <a16:creationId xmlns:a16="http://schemas.microsoft.com/office/drawing/2014/main" id="{E2309183-E437-42C5-87F4-D5A91ABCA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0" y="466725"/>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xdr:row>
      <xdr:rowOff>0</xdr:rowOff>
    </xdr:from>
    <xdr:to>
      <xdr:col>7</xdr:col>
      <xdr:colOff>85725</xdr:colOff>
      <xdr:row>3</xdr:row>
      <xdr:rowOff>95250</xdr:rowOff>
    </xdr:to>
    <xdr:pic>
      <xdr:nvPicPr>
        <xdr:cNvPr id="32878" name="Picture 20" descr="trans">
          <a:extLst>
            <a:ext uri="{FF2B5EF4-FFF2-40B4-BE49-F238E27FC236}">
              <a16:creationId xmlns:a16="http://schemas.microsoft.com/office/drawing/2014/main" id="{9B84E38B-2CB5-4598-8093-A36CE62AA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466725"/>
          <a:ext cx="857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104775</xdr:colOff>
      <xdr:row>5</xdr:row>
      <xdr:rowOff>95250</xdr:rowOff>
    </xdr:to>
    <xdr:pic>
      <xdr:nvPicPr>
        <xdr:cNvPr id="32879" name="Picture 21" descr="trans">
          <a:extLst>
            <a:ext uri="{FF2B5EF4-FFF2-40B4-BE49-F238E27FC236}">
              <a16:creationId xmlns:a16="http://schemas.microsoft.com/office/drawing/2014/main" id="{3DE37FA9-0FCB-4D29-82BE-23FEB9AF7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7</xdr:col>
      <xdr:colOff>85725</xdr:colOff>
      <xdr:row>5</xdr:row>
      <xdr:rowOff>95250</xdr:rowOff>
    </xdr:to>
    <xdr:pic>
      <xdr:nvPicPr>
        <xdr:cNvPr id="32880" name="Picture 22" descr="trans">
          <a:extLst>
            <a:ext uri="{FF2B5EF4-FFF2-40B4-BE49-F238E27FC236}">
              <a16:creationId xmlns:a16="http://schemas.microsoft.com/office/drawing/2014/main" id="{EB774787-37C4-4B2A-B476-1F9D741A5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790575"/>
          <a:ext cx="857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7</xdr:row>
      <xdr:rowOff>0</xdr:rowOff>
    </xdr:from>
    <xdr:to>
      <xdr:col>6</xdr:col>
      <xdr:colOff>19050</xdr:colOff>
      <xdr:row>7</xdr:row>
      <xdr:rowOff>47625</xdr:rowOff>
    </xdr:to>
    <xdr:pic>
      <xdr:nvPicPr>
        <xdr:cNvPr id="32881" name="Picture 24" descr="trans">
          <a:extLst>
            <a:ext uri="{FF2B5EF4-FFF2-40B4-BE49-F238E27FC236}">
              <a16:creationId xmlns:a16="http://schemas.microsoft.com/office/drawing/2014/main" id="{7C809FE0-9B12-44F4-8808-E7E82AA4F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11144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12</xdr:row>
      <xdr:rowOff>0</xdr:rowOff>
    </xdr:from>
    <xdr:to>
      <xdr:col>6</xdr:col>
      <xdr:colOff>19050</xdr:colOff>
      <xdr:row>12</xdr:row>
      <xdr:rowOff>47625</xdr:rowOff>
    </xdr:to>
    <xdr:pic>
      <xdr:nvPicPr>
        <xdr:cNvPr id="32882" name="Picture 25" descr="trans">
          <a:extLst>
            <a:ext uri="{FF2B5EF4-FFF2-40B4-BE49-F238E27FC236}">
              <a16:creationId xmlns:a16="http://schemas.microsoft.com/office/drawing/2014/main" id="{CC5DD03F-3C92-4543-BBFB-A93C3CEC2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2095500"/>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19050</xdr:colOff>
      <xdr:row>16</xdr:row>
      <xdr:rowOff>47625</xdr:rowOff>
    </xdr:to>
    <xdr:pic>
      <xdr:nvPicPr>
        <xdr:cNvPr id="32883" name="Picture 26" descr="trans">
          <a:extLst>
            <a:ext uri="{FF2B5EF4-FFF2-40B4-BE49-F238E27FC236}">
              <a16:creationId xmlns:a16="http://schemas.microsoft.com/office/drawing/2014/main" id="{D4B8C41B-537D-4ED5-9C3B-939F3DFDF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30575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20</xdr:row>
      <xdr:rowOff>0</xdr:rowOff>
    </xdr:from>
    <xdr:to>
      <xdr:col>6</xdr:col>
      <xdr:colOff>19050</xdr:colOff>
      <xdr:row>20</xdr:row>
      <xdr:rowOff>47625</xdr:rowOff>
    </xdr:to>
    <xdr:pic>
      <xdr:nvPicPr>
        <xdr:cNvPr id="32884" name="Picture 27" descr="trans">
          <a:extLst>
            <a:ext uri="{FF2B5EF4-FFF2-40B4-BE49-F238E27FC236}">
              <a16:creationId xmlns:a16="http://schemas.microsoft.com/office/drawing/2014/main" id="{EA29C60F-1476-40BC-9106-EFF2A4DD8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4038600"/>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24</xdr:row>
      <xdr:rowOff>0</xdr:rowOff>
    </xdr:from>
    <xdr:to>
      <xdr:col>6</xdr:col>
      <xdr:colOff>19050</xdr:colOff>
      <xdr:row>24</xdr:row>
      <xdr:rowOff>47625</xdr:rowOff>
    </xdr:to>
    <xdr:pic>
      <xdr:nvPicPr>
        <xdr:cNvPr id="32885" name="Picture 28" descr="trans">
          <a:extLst>
            <a:ext uri="{FF2B5EF4-FFF2-40B4-BE49-F238E27FC236}">
              <a16:creationId xmlns:a16="http://schemas.microsoft.com/office/drawing/2014/main" id="{224E7099-C21A-45E0-A2A7-54B99C1B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5029200"/>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29</xdr:row>
      <xdr:rowOff>0</xdr:rowOff>
    </xdr:from>
    <xdr:to>
      <xdr:col>6</xdr:col>
      <xdr:colOff>19050</xdr:colOff>
      <xdr:row>29</xdr:row>
      <xdr:rowOff>47625</xdr:rowOff>
    </xdr:to>
    <xdr:pic>
      <xdr:nvPicPr>
        <xdr:cNvPr id="32886" name="Picture 29" descr="trans">
          <a:extLst>
            <a:ext uri="{FF2B5EF4-FFF2-40B4-BE49-F238E27FC236}">
              <a16:creationId xmlns:a16="http://schemas.microsoft.com/office/drawing/2014/main" id="{EBFAA086-E42A-480C-B381-DA0A02486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6019800"/>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35</xdr:row>
      <xdr:rowOff>0</xdr:rowOff>
    </xdr:from>
    <xdr:to>
      <xdr:col>6</xdr:col>
      <xdr:colOff>19050</xdr:colOff>
      <xdr:row>35</xdr:row>
      <xdr:rowOff>47625</xdr:rowOff>
    </xdr:to>
    <xdr:pic>
      <xdr:nvPicPr>
        <xdr:cNvPr id="32887" name="Picture 30" descr="trans">
          <a:extLst>
            <a:ext uri="{FF2B5EF4-FFF2-40B4-BE49-F238E27FC236}">
              <a16:creationId xmlns:a16="http://schemas.microsoft.com/office/drawing/2014/main" id="{75B918C9-D9C7-428A-AEB9-693B8FD1E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717232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39</xdr:row>
      <xdr:rowOff>0</xdr:rowOff>
    </xdr:from>
    <xdr:to>
      <xdr:col>6</xdr:col>
      <xdr:colOff>19050</xdr:colOff>
      <xdr:row>39</xdr:row>
      <xdr:rowOff>47625</xdr:rowOff>
    </xdr:to>
    <xdr:pic>
      <xdr:nvPicPr>
        <xdr:cNvPr id="32888" name="Picture 31" descr="trans">
          <a:extLst>
            <a:ext uri="{FF2B5EF4-FFF2-40B4-BE49-F238E27FC236}">
              <a16:creationId xmlns:a16="http://schemas.microsoft.com/office/drawing/2014/main" id="{D76492A2-35AB-4D9C-B4CE-555E4DF0E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8143875"/>
          <a:ext cx="19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hyperlink" Target="https://stichting.moment.online/stichting-drie-wassende-manen" TargetMode="External"/><Relationship Id="rId2" Type="http://schemas.openxmlformats.org/officeDocument/2006/relationships/hyperlink" Target="mailto:driewassendemanen@gmail.com" TargetMode="External"/><Relationship Id="rId1" Type="http://schemas.openxmlformats.org/officeDocument/2006/relationships/hyperlink" Target="http://www.transparante-anbi.nl/Product/Stichting-Drie-Wassende-Manen/1661" TargetMode="External"/><Relationship Id="rId6" Type="http://schemas.openxmlformats.org/officeDocument/2006/relationships/printerSettings" Target="../printerSettings/printerSettings27.bin"/><Relationship Id="rId5" Type="http://schemas.openxmlformats.org/officeDocument/2006/relationships/hyperlink" Target="https://mijn.moment.online/inloggen" TargetMode="External"/><Relationship Id="rId4" Type="http://schemas.openxmlformats.org/officeDocument/2006/relationships/hyperlink" Target="mailto:driewassendemanen@gmail.com"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driewassendemanen@gmail.com" TargetMode="External"/><Relationship Id="rId1" Type="http://schemas.openxmlformats.org/officeDocument/2006/relationships/hyperlink" Target="http://www.transparante-anbi.nl/Product/Stichting-Drie-Wassende-Manen/166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663-05DF-4354-84E2-E8A781C78D9C}">
  <sheetPr>
    <pageSetUpPr fitToPage="1"/>
  </sheetPr>
  <dimension ref="A1:BA31"/>
  <sheetViews>
    <sheetView tabSelected="1" zoomScale="136" zoomScaleNormal="136" workbookViewId="0">
      <selection sqref="A1:R31"/>
    </sheetView>
  </sheetViews>
  <sheetFormatPr defaultColWidth="8.85546875" defaultRowHeight="12.75" x14ac:dyDescent="0.2"/>
  <cols>
    <col min="1" max="1" width="6.42578125" customWidth="1"/>
    <col min="3" max="3" width="40.28515625" customWidth="1"/>
    <col min="4" max="4" width="10.7109375" bestFit="1" customWidth="1"/>
    <col min="5" max="5" width="11" bestFit="1" customWidth="1"/>
    <col min="6" max="6" width="2.85546875" customWidth="1"/>
    <col min="7" max="8" width="9.140625" customWidth="1"/>
    <col min="9" max="9" width="2.42578125" customWidth="1"/>
    <col min="10" max="10" width="9.28515625" style="4" customWidth="1"/>
    <col min="11" max="11" width="9.28515625" style="201" customWidth="1"/>
    <col min="12" max="12" width="2.42578125" customWidth="1"/>
    <col min="13" max="13" width="9.28515625" style="4" customWidth="1"/>
    <col min="14" max="14" width="10" style="201" customWidth="1"/>
    <col min="15" max="15" width="2.42578125" customWidth="1"/>
    <col min="16" max="16" width="8.28515625" style="4" bestFit="1" customWidth="1"/>
    <col min="17" max="17" width="10" style="201" customWidth="1"/>
    <col min="18" max="18" width="2.42578125" customWidth="1"/>
    <col min="19" max="19" width="9.140625" style="4" customWidth="1"/>
    <col min="20" max="20" width="11" style="195" bestFit="1" customWidth="1"/>
    <col min="21" max="21" width="2.42578125" customWidth="1"/>
    <col min="22" max="22" width="9.140625" style="4" customWidth="1"/>
    <col min="23" max="23" width="11.42578125" style="195" bestFit="1" customWidth="1"/>
    <col min="24" max="24" width="2.42578125" customWidth="1"/>
    <col min="25" max="25" width="9.140625" style="4" customWidth="1"/>
    <col min="26" max="26" width="11.42578125" customWidth="1"/>
    <col min="27" max="27" width="2.42578125" customWidth="1"/>
    <col min="28" max="28" width="9.140625" style="4" customWidth="1"/>
    <col min="30" max="30" width="2.42578125" customWidth="1"/>
    <col min="31" max="31" width="9.140625" style="4" customWidth="1"/>
    <col min="33" max="33" width="2.42578125" customWidth="1"/>
    <col min="34" max="34" width="9.140625" style="4" customWidth="1"/>
    <col min="36" max="36" width="2.42578125" customWidth="1"/>
    <col min="37" max="37" width="9.140625" style="4" customWidth="1"/>
    <col min="39" max="39" width="2.42578125" customWidth="1"/>
    <col min="40" max="40" width="9.140625" style="4" customWidth="1"/>
    <col min="42" max="42" width="2.42578125" customWidth="1"/>
    <col min="43" max="43" width="9.140625" style="4" customWidth="1"/>
    <col min="45" max="45" width="2.42578125" customWidth="1"/>
    <col min="48" max="48" width="2.42578125" customWidth="1"/>
  </cols>
  <sheetData>
    <row r="1" spans="1:50" ht="20.25" x14ac:dyDescent="0.3">
      <c r="A1" s="10" t="s">
        <v>69</v>
      </c>
    </row>
    <row r="3" spans="1:50" s="109" customFormat="1" x14ac:dyDescent="0.2">
      <c r="D3" s="241">
        <v>45657</v>
      </c>
      <c r="E3" s="242"/>
      <c r="G3" s="245">
        <v>45291</v>
      </c>
      <c r="H3" s="246"/>
      <c r="J3" s="239">
        <v>44926</v>
      </c>
      <c r="K3" s="240"/>
      <c r="M3" s="239">
        <v>44561</v>
      </c>
      <c r="N3" s="240"/>
      <c r="P3" s="239">
        <v>44196</v>
      </c>
      <c r="Q3" s="240"/>
      <c r="S3" s="239">
        <v>43830</v>
      </c>
      <c r="T3" s="240"/>
      <c r="V3" s="239">
        <v>43465</v>
      </c>
      <c r="W3" s="240"/>
      <c r="Y3" s="239">
        <v>43100</v>
      </c>
      <c r="Z3" s="240"/>
      <c r="AB3" s="247">
        <v>42735</v>
      </c>
      <c r="AC3" s="247"/>
      <c r="AE3" s="247">
        <v>42369</v>
      </c>
      <c r="AF3" s="247"/>
      <c r="AH3" s="247">
        <v>42004</v>
      </c>
      <c r="AI3" s="247"/>
      <c r="AK3" s="247">
        <v>41639</v>
      </c>
      <c r="AL3" s="247"/>
      <c r="AN3" s="247">
        <v>41274</v>
      </c>
      <c r="AO3" s="247"/>
      <c r="AQ3" s="247">
        <v>40908</v>
      </c>
      <c r="AR3" s="247"/>
      <c r="AT3" s="247">
        <v>40543</v>
      </c>
      <c r="AU3" s="247"/>
      <c r="AV3" s="110"/>
      <c r="AW3" s="247">
        <v>40178</v>
      </c>
      <c r="AX3" s="247"/>
    </row>
    <row r="4" spans="1:50" x14ac:dyDescent="0.2">
      <c r="D4" s="243" t="s">
        <v>73</v>
      </c>
      <c r="E4" s="244"/>
      <c r="G4" s="243" t="s">
        <v>73</v>
      </c>
      <c r="H4" s="244"/>
      <c r="J4" s="243" t="s">
        <v>73</v>
      </c>
      <c r="K4" s="244"/>
      <c r="M4" s="243" t="s">
        <v>73</v>
      </c>
      <c r="N4" s="244"/>
      <c r="P4" s="243" t="s">
        <v>73</v>
      </c>
      <c r="Q4" s="244"/>
      <c r="S4" s="243" t="s">
        <v>73</v>
      </c>
      <c r="T4" s="244"/>
      <c r="V4" s="243" t="s">
        <v>73</v>
      </c>
      <c r="W4" s="244"/>
      <c r="Y4" s="243" t="s">
        <v>73</v>
      </c>
      <c r="Z4" s="244"/>
      <c r="AB4" s="248" t="s">
        <v>73</v>
      </c>
      <c r="AC4" s="248"/>
      <c r="AE4" s="248" t="s">
        <v>73</v>
      </c>
      <c r="AF4" s="248"/>
      <c r="AH4" s="248" t="s">
        <v>73</v>
      </c>
      <c r="AI4" s="248"/>
      <c r="AK4" s="248" t="s">
        <v>73</v>
      </c>
      <c r="AL4" s="248"/>
      <c r="AN4" s="248" t="s">
        <v>73</v>
      </c>
      <c r="AO4" s="248"/>
      <c r="AQ4" s="248" t="s">
        <v>73</v>
      </c>
      <c r="AR4" s="248"/>
      <c r="AT4" s="248" t="s">
        <v>73</v>
      </c>
      <c r="AU4" s="248"/>
      <c r="AV4" s="35"/>
      <c r="AW4" s="248" t="s">
        <v>73</v>
      </c>
      <c r="AX4" s="248"/>
    </row>
    <row r="5" spans="1:50" ht="15.75" x14ac:dyDescent="0.25">
      <c r="A5" s="2" t="s">
        <v>21</v>
      </c>
      <c r="E5" s="196"/>
      <c r="H5" s="196"/>
      <c r="K5" s="196"/>
      <c r="N5" s="196"/>
      <c r="Q5" s="196"/>
      <c r="T5" s="196"/>
      <c r="W5" s="196"/>
      <c r="Z5" s="173"/>
      <c r="AC5" s="173"/>
      <c r="AF5" s="8"/>
      <c r="AI5" s="8"/>
      <c r="AL5" s="8"/>
      <c r="AO5" s="8"/>
      <c r="AR5" s="8"/>
      <c r="AT5" s="5"/>
      <c r="AU5" s="8"/>
      <c r="AV5" s="7"/>
      <c r="AW5" s="5"/>
      <c r="AX5" s="8"/>
    </row>
    <row r="6" spans="1:50" s="12" customFormat="1" ht="19.5" customHeight="1" x14ac:dyDescent="0.2">
      <c r="A6" s="11" t="s">
        <v>23</v>
      </c>
      <c r="E6" s="197"/>
      <c r="H6" s="197"/>
      <c r="J6" s="68"/>
      <c r="K6" s="197"/>
      <c r="M6" s="68"/>
      <c r="N6" s="197"/>
      <c r="P6" s="68"/>
      <c r="Q6" s="197"/>
      <c r="S6" s="68"/>
      <c r="T6" s="197"/>
      <c r="V6" s="68"/>
      <c r="W6" s="197"/>
      <c r="Y6" s="68"/>
      <c r="Z6" s="188"/>
      <c r="AB6" s="68"/>
      <c r="AC6" s="188"/>
      <c r="AE6" s="68"/>
      <c r="AF6" s="14"/>
      <c r="AH6" s="68"/>
      <c r="AI6" s="14"/>
      <c r="AK6" s="68"/>
      <c r="AL6" s="14"/>
      <c r="AN6" s="68"/>
      <c r="AO6" s="14"/>
      <c r="AQ6" s="68"/>
      <c r="AR6" s="14"/>
      <c r="AT6" s="13"/>
      <c r="AU6" s="14"/>
      <c r="AV6" s="36"/>
      <c r="AW6" s="13"/>
      <c r="AX6" s="14"/>
    </row>
    <row r="7" spans="1:50" x14ac:dyDescent="0.2">
      <c r="A7" t="s">
        <v>25</v>
      </c>
      <c r="E7" s="202">
        <v>0</v>
      </c>
      <c r="H7" s="202">
        <v>0</v>
      </c>
      <c r="K7" s="202">
        <v>0</v>
      </c>
      <c r="N7" s="202">
        <v>0</v>
      </c>
      <c r="Q7" s="202">
        <v>0</v>
      </c>
      <c r="T7" s="196">
        <v>0</v>
      </c>
      <c r="W7" s="196">
        <v>0</v>
      </c>
      <c r="Z7" s="173">
        <v>0</v>
      </c>
      <c r="AC7" s="173">
        <v>0</v>
      </c>
      <c r="AF7" s="8">
        <v>0</v>
      </c>
      <c r="AI7" s="8">
        <v>0</v>
      </c>
      <c r="AL7" s="8">
        <v>0</v>
      </c>
      <c r="AO7" s="8">
        <v>0</v>
      </c>
      <c r="AR7" s="8">
        <v>0</v>
      </c>
      <c r="AT7" s="5"/>
      <c r="AU7" s="8">
        <v>0</v>
      </c>
      <c r="AV7" s="7"/>
      <c r="AW7" s="5"/>
      <c r="AX7" s="8">
        <v>0</v>
      </c>
    </row>
    <row r="8" spans="1:50" x14ac:dyDescent="0.2">
      <c r="E8" s="196"/>
      <c r="H8" s="196"/>
      <c r="K8" s="196"/>
      <c r="N8" s="196"/>
      <c r="Q8" s="196"/>
      <c r="T8" s="196"/>
      <c r="W8" s="196"/>
      <c r="Z8" s="173"/>
      <c r="AC8" s="173"/>
      <c r="AF8" s="8"/>
      <c r="AI8" s="8"/>
      <c r="AL8" s="8"/>
      <c r="AO8" s="8"/>
      <c r="AR8" s="8"/>
      <c r="AT8" s="5"/>
      <c r="AU8" s="8"/>
      <c r="AV8" s="7"/>
      <c r="AW8" s="5"/>
      <c r="AX8" s="8"/>
    </row>
    <row r="9" spans="1:50" s="12" customFormat="1" ht="19.5" customHeight="1" x14ac:dyDescent="0.2">
      <c r="A9" s="11" t="s">
        <v>24</v>
      </c>
      <c r="E9" s="197"/>
      <c r="H9" s="197"/>
      <c r="J9" s="68"/>
      <c r="K9" s="197"/>
      <c r="M9" s="68"/>
      <c r="N9" s="197"/>
      <c r="P9" s="68"/>
      <c r="Q9" s="197"/>
      <c r="S9" s="68"/>
      <c r="T9" s="197"/>
      <c r="V9" s="68"/>
      <c r="W9" s="197"/>
      <c r="Y9" s="68"/>
      <c r="Z9" s="188"/>
      <c r="AB9" s="68"/>
      <c r="AC9" s="188"/>
      <c r="AE9" s="68"/>
      <c r="AF9" s="14"/>
      <c r="AH9" s="68"/>
      <c r="AI9" s="14"/>
      <c r="AK9" s="68"/>
      <c r="AL9" s="14"/>
      <c r="AN9" s="68"/>
      <c r="AO9" s="14"/>
      <c r="AQ9" s="68"/>
      <c r="AR9" s="14"/>
      <c r="AT9" s="13"/>
      <c r="AU9" s="14"/>
      <c r="AV9" s="36"/>
      <c r="AW9" s="13"/>
      <c r="AX9" s="14"/>
    </row>
    <row r="10" spans="1:50" x14ac:dyDescent="0.2">
      <c r="A10" t="s">
        <v>26</v>
      </c>
      <c r="D10" s="224">
        <f>+'kolommenbalans 2024'!D46</f>
        <v>499.48</v>
      </c>
      <c r="E10" s="196"/>
      <c r="G10" s="224">
        <f>+'kolommenbalans 2023'!D45</f>
        <v>168.52999999999994</v>
      </c>
      <c r="H10" s="196"/>
      <c r="J10" s="193">
        <v>-204.36999999999992</v>
      </c>
      <c r="K10" s="196"/>
      <c r="M10" s="193">
        <v>-305.83999999999992</v>
      </c>
      <c r="N10" s="196"/>
      <c r="P10" s="4">
        <v>-473.83999999999992</v>
      </c>
      <c r="Q10" s="196"/>
      <c r="S10" s="4">
        <v>-164.07999999999993</v>
      </c>
      <c r="T10" s="198"/>
      <c r="V10" s="4">
        <f>+'kolommenbalans 2018'!D46</f>
        <v>199.92000000000002</v>
      </c>
      <c r="W10" s="198"/>
      <c r="Y10" s="4">
        <v>1894.85</v>
      </c>
      <c r="Z10" s="189"/>
      <c r="AB10" s="4">
        <f>+'balans 2016'!D10</f>
        <v>167.54</v>
      </c>
      <c r="AC10" s="189"/>
      <c r="AE10" s="4">
        <f>+'balans 2015'!D10</f>
        <v>163.28</v>
      </c>
      <c r="AF10" s="15"/>
      <c r="AH10" s="4">
        <f>+'kolommenbalans 2014'!E29</f>
        <v>112.35</v>
      </c>
      <c r="AI10" s="15"/>
      <c r="AK10" s="4">
        <v>99.669999999999987</v>
      </c>
      <c r="AL10" s="15"/>
      <c r="AN10" s="4">
        <v>62.07</v>
      </c>
      <c r="AO10" s="15"/>
      <c r="AQ10" s="4">
        <v>69.2</v>
      </c>
      <c r="AR10" s="15"/>
      <c r="AT10" s="5">
        <v>0</v>
      </c>
      <c r="AU10" s="15"/>
      <c r="AV10" s="26"/>
      <c r="AW10" s="5">
        <v>0</v>
      </c>
      <c r="AX10" s="15"/>
    </row>
    <row r="11" spans="1:50" ht="13.5" thickBot="1" x14ac:dyDescent="0.25">
      <c r="A11" s="70" t="s">
        <v>427</v>
      </c>
      <c r="D11" s="225">
        <f>+'kolommenbalans 2024'!B46+'kolommenbalans 2024'!C46</f>
        <v>10454.239999999991</v>
      </c>
      <c r="E11" s="196"/>
      <c r="G11" s="225">
        <f>+'kolommenbalans 2023'!B38+'kolommenbalans 2023'!C38</f>
        <v>7483.1899999999905</v>
      </c>
      <c r="H11" s="196"/>
      <c r="J11" s="9">
        <v>10142.719999999992</v>
      </c>
      <c r="K11" s="196"/>
      <c r="M11" s="9">
        <v>10164.009999999993</v>
      </c>
      <c r="N11" s="196"/>
      <c r="P11" s="9">
        <v>7132.0099999999929</v>
      </c>
      <c r="Q11" s="196"/>
      <c r="S11" s="164">
        <v>18260.939999999991</v>
      </c>
      <c r="T11" s="196"/>
      <c r="V11" s="9">
        <f>+'kolommenbalans 2018'!B46+'kolommenbalans 2018'!C46</f>
        <v>22356.939999999991</v>
      </c>
      <c r="W11" s="196"/>
      <c r="Y11" s="9">
        <v>21340.339999999997</v>
      </c>
      <c r="Z11" s="173"/>
      <c r="AB11" s="9">
        <f>+'balans 2016'!D11</f>
        <v>19843.679999999993</v>
      </c>
      <c r="AC11" s="173"/>
      <c r="AE11" s="4">
        <f>+'balans 2015'!D11</f>
        <v>21437.119999999995</v>
      </c>
      <c r="AF11" s="8"/>
      <c r="AH11" s="9">
        <f>+'kolommenbalans 2014'!C29+'kolommenbalans 2014'!D29</f>
        <v>18681.909999999996</v>
      </c>
      <c r="AI11" s="8"/>
      <c r="AK11" s="9">
        <v>18624.18</v>
      </c>
      <c r="AL11" s="8"/>
      <c r="AN11" s="9">
        <v>11168.810000000001</v>
      </c>
      <c r="AO11" s="8"/>
      <c r="AQ11" s="9">
        <v>10533.65</v>
      </c>
      <c r="AR11" s="8"/>
      <c r="AT11" s="6">
        <v>6086.88</v>
      </c>
      <c r="AU11" s="8"/>
      <c r="AV11" s="7"/>
      <c r="AW11" s="6">
        <v>635.5</v>
      </c>
      <c r="AX11" s="8"/>
    </row>
    <row r="12" spans="1:50" ht="13.5" thickBot="1" x14ac:dyDescent="0.25">
      <c r="E12" s="194"/>
      <c r="H12" s="194"/>
      <c r="K12" s="194">
        <v>9938.3499999999913</v>
      </c>
      <c r="N12" s="194">
        <v>9858.1699999999928</v>
      </c>
      <c r="Q12" s="194">
        <v>6658.1699999999928</v>
      </c>
      <c r="T12" s="194">
        <v>18096.859999999993</v>
      </c>
      <c r="W12" s="194">
        <f>+V11+V10</f>
        <v>22556.85999999999</v>
      </c>
      <c r="Z12" s="194">
        <v>23235.189999999995</v>
      </c>
      <c r="AC12" s="190">
        <f>+AB11+AB10</f>
        <v>20011.219999999994</v>
      </c>
      <c r="AF12" s="16">
        <f>+AE11+AE10</f>
        <v>21600.399999999994</v>
      </c>
      <c r="AI12" s="16">
        <f>+AH11+AH10</f>
        <v>18794.259999999995</v>
      </c>
      <c r="AL12" s="16">
        <v>18723.849999999999</v>
      </c>
      <c r="AO12" s="16">
        <v>11230.880000000001</v>
      </c>
      <c r="AR12" s="16">
        <v>10602.85</v>
      </c>
      <c r="AT12" s="5"/>
      <c r="AU12" s="16">
        <v>6086.88</v>
      </c>
      <c r="AV12" s="7"/>
      <c r="AW12" s="5"/>
      <c r="AX12" s="16">
        <v>635.5</v>
      </c>
    </row>
    <row r="13" spans="1:50" s="20" customFormat="1" ht="19.5" customHeight="1" x14ac:dyDescent="0.2">
      <c r="A13" s="1"/>
      <c r="C13" s="107" t="s">
        <v>739</v>
      </c>
      <c r="D13" s="107"/>
      <c r="E13" s="203">
        <f>+D11+D10</f>
        <v>10953.71999999999</v>
      </c>
      <c r="F13" s="107"/>
      <c r="G13" s="107"/>
      <c r="H13" s="203">
        <f>+G11+G10</f>
        <v>7651.7199999999903</v>
      </c>
      <c r="I13" s="107"/>
      <c r="J13" s="165"/>
      <c r="K13" s="203">
        <v>9938.3499999999913</v>
      </c>
      <c r="L13" s="107"/>
      <c r="M13" s="165"/>
      <c r="N13" s="203">
        <v>9858.1699999999928</v>
      </c>
      <c r="O13" s="107"/>
      <c r="P13" s="165"/>
      <c r="Q13" s="203">
        <v>6658.1699999999928</v>
      </c>
      <c r="R13" s="107"/>
      <c r="S13" s="165"/>
      <c r="T13" s="199">
        <v>18096.859999999993</v>
      </c>
      <c r="U13" s="107"/>
      <c r="V13" s="165"/>
      <c r="W13" s="196">
        <f>+W12+W7</f>
        <v>22556.85999999999</v>
      </c>
      <c r="X13" s="107"/>
      <c r="Y13" s="165"/>
      <c r="Z13" s="191">
        <v>23235.19</v>
      </c>
      <c r="AA13" s="107"/>
      <c r="AB13" s="165"/>
      <c r="AC13" s="191">
        <f>+AC12+AC7</f>
        <v>20011.219999999994</v>
      </c>
      <c r="AD13" s="107"/>
      <c r="AE13" s="165"/>
      <c r="AF13" s="18">
        <f>+AF12+AF7</f>
        <v>21600.399999999994</v>
      </c>
      <c r="AG13" s="107"/>
      <c r="AH13" s="165"/>
      <c r="AI13" s="18">
        <f>+AI12+AI7</f>
        <v>18794.259999999995</v>
      </c>
      <c r="AJ13" s="107"/>
      <c r="AK13" s="165"/>
      <c r="AL13" s="18">
        <v>18723.849999999999</v>
      </c>
      <c r="AM13" s="107"/>
      <c r="AN13" s="165"/>
      <c r="AO13" s="18">
        <v>11230.880000000001</v>
      </c>
      <c r="AP13" s="107"/>
      <c r="AQ13" s="165"/>
      <c r="AR13" s="18">
        <v>10602.85</v>
      </c>
      <c r="AS13" s="107"/>
      <c r="AT13" s="37"/>
      <c r="AU13" s="18">
        <v>6086.88</v>
      </c>
      <c r="AV13" s="37"/>
      <c r="AW13" s="37"/>
      <c r="AX13" s="18">
        <v>635.5</v>
      </c>
    </row>
    <row r="14" spans="1:50" x14ac:dyDescent="0.2">
      <c r="E14" s="196"/>
      <c r="H14" s="196"/>
      <c r="K14" s="196"/>
      <c r="N14" s="196"/>
      <c r="Q14" s="196"/>
      <c r="T14" s="196"/>
      <c r="W14" s="196"/>
      <c r="Z14" s="173"/>
      <c r="AC14" s="173"/>
      <c r="AF14" s="8"/>
      <c r="AI14" s="8"/>
      <c r="AL14" s="8"/>
      <c r="AO14" s="8"/>
      <c r="AR14" s="8"/>
      <c r="AT14" s="5"/>
      <c r="AU14" s="8"/>
      <c r="AV14" s="7"/>
      <c r="AW14" s="5"/>
      <c r="AX14" s="8"/>
    </row>
    <row r="15" spans="1:50" ht="15.75" x14ac:dyDescent="0.25">
      <c r="A15" s="2" t="s">
        <v>22</v>
      </c>
      <c r="E15" s="196"/>
      <c r="H15" s="196"/>
      <c r="K15" s="196"/>
      <c r="N15" s="196"/>
      <c r="Q15" s="196"/>
      <c r="T15" s="196"/>
      <c r="W15" s="196"/>
      <c r="Z15" s="173"/>
      <c r="AC15" s="173"/>
      <c r="AF15" s="8"/>
      <c r="AI15" s="8"/>
      <c r="AL15" s="8"/>
      <c r="AO15" s="8"/>
      <c r="AR15" s="8"/>
      <c r="AT15" s="5"/>
      <c r="AU15" s="8"/>
      <c r="AV15" s="7"/>
      <c r="AW15" s="5"/>
      <c r="AX15" s="8"/>
    </row>
    <row r="16" spans="1:50" ht="19.5" customHeight="1" x14ac:dyDescent="0.2">
      <c r="A16" s="11" t="s">
        <v>29</v>
      </c>
      <c r="E16" s="196"/>
      <c r="H16" s="196"/>
      <c r="K16" s="196"/>
      <c r="N16" s="196"/>
      <c r="Q16" s="196"/>
      <c r="T16" s="196"/>
      <c r="W16" s="196"/>
      <c r="Z16" s="173"/>
      <c r="AC16" s="173"/>
      <c r="AF16" s="8"/>
      <c r="AI16" s="8"/>
      <c r="AL16" s="8"/>
      <c r="AO16" s="8"/>
      <c r="AR16" s="8"/>
      <c r="AT16" s="5"/>
      <c r="AU16" s="8"/>
      <c r="AV16" s="7"/>
      <c r="AW16" s="5"/>
      <c r="AX16" s="8"/>
    </row>
    <row r="17" spans="1:53" x14ac:dyDescent="0.2">
      <c r="A17" t="s">
        <v>28</v>
      </c>
      <c r="D17" s="226">
        <f>+'kolommenbalans 2024'!E46</f>
        <v>-8553.369999999999</v>
      </c>
      <c r="E17" s="196"/>
      <c r="G17" s="226">
        <f>+J17+'winst en verlies 2023'!D33+1</f>
        <v>4052.37</v>
      </c>
      <c r="H17" s="196"/>
      <c r="J17" s="219">
        <v>638</v>
      </c>
      <c r="K17" s="196"/>
      <c r="M17" s="193">
        <v>4698.17</v>
      </c>
      <c r="N17" s="196"/>
      <c r="P17" s="4">
        <v>-2801.8299999999981</v>
      </c>
      <c r="Q17" s="196"/>
      <c r="S17" s="5">
        <v>15676.860000000002</v>
      </c>
      <c r="T17" s="196"/>
      <c r="V17" s="5">
        <f>-'kolommenbalans 2018'!G46</f>
        <v>4676.8600000000024</v>
      </c>
      <c r="W17" s="196"/>
      <c r="Y17" s="5">
        <v>12645.189999999995</v>
      </c>
      <c r="Z17" s="173"/>
      <c r="AB17" s="5">
        <f>+'balans 2016'!D17</f>
        <v>4230.5700000000015</v>
      </c>
      <c r="AC17" s="173"/>
      <c r="AE17" s="5">
        <f>-'balans 2015'!D17</f>
        <v>14848.090000000002</v>
      </c>
      <c r="AF17" s="8"/>
      <c r="AH17" s="5">
        <f>-'kolommenbalans 2014'!F29</f>
        <v>12794.26</v>
      </c>
      <c r="AI17" s="8"/>
      <c r="AK17" s="5">
        <v>11223.85</v>
      </c>
      <c r="AL17" s="8"/>
      <c r="AN17" s="5">
        <v>635.5</v>
      </c>
      <c r="AO17" s="8"/>
      <c r="AQ17" s="5">
        <v>635.5</v>
      </c>
      <c r="AR17" s="8"/>
      <c r="AT17" s="5">
        <v>635.5</v>
      </c>
      <c r="AU17" s="8"/>
      <c r="AV17" s="7"/>
      <c r="AW17" s="5">
        <v>635.5</v>
      </c>
      <c r="AX17" s="8"/>
    </row>
    <row r="18" spans="1:53" ht="13.5" thickBot="1" x14ac:dyDescent="0.25">
      <c r="A18" s="70" t="s">
        <v>428</v>
      </c>
      <c r="D18" s="224">
        <f>+'kolommenbalans 2024'!F46</f>
        <v>-2400</v>
      </c>
      <c r="E18" s="196"/>
      <c r="G18" s="224">
        <f>-'kolommenbalans 2023'!F48</f>
        <v>3600</v>
      </c>
      <c r="H18" s="196"/>
      <c r="J18" s="223">
        <v>9300</v>
      </c>
      <c r="K18" s="196"/>
      <c r="M18" s="9">
        <v>5160</v>
      </c>
      <c r="N18" s="196"/>
      <c r="P18" s="9">
        <v>9460</v>
      </c>
      <c r="Q18" s="196"/>
      <c r="S18" s="6">
        <v>2420</v>
      </c>
      <c r="T18" s="196"/>
      <c r="V18" s="5">
        <f>-'kolommenbalans 2018'!H46</f>
        <v>17880</v>
      </c>
      <c r="W18" s="196"/>
      <c r="Y18" s="5">
        <v>10590</v>
      </c>
      <c r="Z18" s="173"/>
      <c r="AB18" s="5">
        <f>+'balans 2016'!D18</f>
        <v>15780.65</v>
      </c>
      <c r="AC18" s="173"/>
      <c r="AE18" s="5">
        <f>-'balans 2015'!D18</f>
        <v>6752.3099999999995</v>
      </c>
      <c r="AF18" s="8"/>
      <c r="AH18" s="5">
        <f>-'kolommenbalans 2014'!G29</f>
        <v>6000</v>
      </c>
      <c r="AI18" s="8"/>
      <c r="AK18" s="5">
        <v>7500</v>
      </c>
      <c r="AL18" s="8"/>
      <c r="AN18" s="5">
        <v>1460</v>
      </c>
      <c r="AO18" s="8"/>
      <c r="AQ18" s="5">
        <v>3130</v>
      </c>
      <c r="AR18" s="8"/>
      <c r="AT18" s="5">
        <v>0</v>
      </c>
      <c r="AU18" s="8"/>
      <c r="AV18" s="7"/>
      <c r="AW18" s="5">
        <v>0</v>
      </c>
      <c r="AX18" s="8"/>
    </row>
    <row r="19" spans="1:53" ht="13.5" hidden="1" thickBot="1" x14ac:dyDescent="0.25">
      <c r="A19" t="s">
        <v>17</v>
      </c>
      <c r="E19" s="196"/>
      <c r="H19" s="196"/>
      <c r="J19" s="9"/>
      <c r="K19" s="196"/>
      <c r="M19" s="9"/>
      <c r="N19" s="196"/>
      <c r="P19" s="9"/>
      <c r="Q19" s="196"/>
      <c r="S19" s="9"/>
      <c r="T19" s="196"/>
      <c r="V19" s="9">
        <v>0</v>
      </c>
      <c r="W19" s="196"/>
      <c r="Y19" s="9">
        <v>0</v>
      </c>
      <c r="Z19" s="173"/>
      <c r="AB19" s="9">
        <v>0</v>
      </c>
      <c r="AC19" s="173"/>
      <c r="AE19" s="9">
        <v>0</v>
      </c>
      <c r="AF19" s="8"/>
      <c r="AH19" s="9">
        <v>0</v>
      </c>
      <c r="AI19" s="8"/>
      <c r="AK19" s="9">
        <v>0</v>
      </c>
      <c r="AL19" s="8"/>
      <c r="AN19" s="9">
        <v>7458.3500000000013</v>
      </c>
      <c r="AO19" s="8"/>
      <c r="AQ19" s="9">
        <v>-41.450000000000728</v>
      </c>
      <c r="AR19" s="8"/>
      <c r="AT19" s="6">
        <v>2458.5500000000002</v>
      </c>
      <c r="AU19" s="8"/>
      <c r="AV19" s="7"/>
      <c r="AW19" s="6">
        <v>0</v>
      </c>
      <c r="AX19" s="8"/>
    </row>
    <row r="20" spans="1:53" s="12" customFormat="1" ht="13.5" customHeight="1" x14ac:dyDescent="0.2">
      <c r="E20" s="204">
        <f>+D18+D17</f>
        <v>-10953.369999999999</v>
      </c>
      <c r="H20" s="204">
        <f>+G18+G17</f>
        <v>7652.37</v>
      </c>
      <c r="J20" s="68"/>
      <c r="K20" s="204">
        <v>9938</v>
      </c>
      <c r="M20" s="68"/>
      <c r="N20" s="204">
        <v>9858.17</v>
      </c>
      <c r="P20" s="68"/>
      <c r="Q20" s="204">
        <v>6658.1700000000019</v>
      </c>
      <c r="S20" s="68"/>
      <c r="T20" s="196">
        <v>18096.86</v>
      </c>
      <c r="V20" s="68"/>
      <c r="W20" s="196">
        <f>+V19+V17+V18</f>
        <v>22556.86</v>
      </c>
      <c r="Y20" s="68"/>
      <c r="Z20" s="192">
        <v>23235.189999999995</v>
      </c>
      <c r="AB20" s="68"/>
      <c r="AC20" s="192">
        <f>+AB19+AB17+AB18</f>
        <v>20011.22</v>
      </c>
      <c r="AE20" s="68"/>
      <c r="AF20" s="49">
        <f>+AE19+AE17+AE18</f>
        <v>21600.400000000001</v>
      </c>
      <c r="AH20" s="68"/>
      <c r="AI20" s="49">
        <f>+AH19+AH17+AH18</f>
        <v>18794.260000000002</v>
      </c>
      <c r="AK20" s="68"/>
      <c r="AL20" s="49">
        <v>18723.849999999999</v>
      </c>
      <c r="AN20" s="68"/>
      <c r="AO20" s="49">
        <v>9553.8500000000022</v>
      </c>
      <c r="AQ20" s="68"/>
      <c r="AR20" s="49">
        <v>3724.0499999999993</v>
      </c>
      <c r="AT20" s="13"/>
      <c r="AU20" s="49">
        <v>3094.05</v>
      </c>
      <c r="AV20" s="50"/>
      <c r="AW20" s="50"/>
      <c r="AX20" s="49">
        <v>635.5</v>
      </c>
    </row>
    <row r="21" spans="1:53" s="12" customFormat="1" ht="13.5" thickBot="1" x14ac:dyDescent="0.25">
      <c r="A21" s="11" t="s">
        <v>30</v>
      </c>
      <c r="E21" s="205">
        <v>0</v>
      </c>
      <c r="H21" s="205">
        <v>0</v>
      </c>
      <c r="J21" s="68"/>
      <c r="K21" s="205">
        <v>0</v>
      </c>
      <c r="M21" s="68"/>
      <c r="N21" s="205">
        <v>0</v>
      </c>
      <c r="P21" s="68"/>
      <c r="Q21" s="205">
        <v>0</v>
      </c>
      <c r="T21" s="194">
        <v>0</v>
      </c>
      <c r="W21" s="194">
        <v>0</v>
      </c>
      <c r="Z21" s="190">
        <v>0</v>
      </c>
      <c r="AC21" s="190">
        <v>0</v>
      </c>
      <c r="AF21" s="16">
        <v>0</v>
      </c>
      <c r="AI21" s="16">
        <v>0</v>
      </c>
      <c r="AL21" s="16">
        <v>0</v>
      </c>
      <c r="AO21" s="16">
        <v>1677.0299999999997</v>
      </c>
      <c r="AR21" s="16">
        <v>6879</v>
      </c>
      <c r="AT21" s="13"/>
      <c r="AU21" s="51">
        <v>2993.0299999999997</v>
      </c>
      <c r="AV21" s="36"/>
      <c r="AW21" s="13"/>
      <c r="AX21" s="17">
        <v>0</v>
      </c>
    </row>
    <row r="22" spans="1:53" s="20" customFormat="1" ht="19.5" customHeight="1" x14ac:dyDescent="0.2">
      <c r="C22" s="107" t="s">
        <v>740</v>
      </c>
      <c r="D22" s="107"/>
      <c r="E22" s="203">
        <f>+D18+D17</f>
        <v>-10953.369999999999</v>
      </c>
      <c r="F22" s="107"/>
      <c r="G22" s="107"/>
      <c r="H22" s="203">
        <f>+G18+G17</f>
        <v>7652.37</v>
      </c>
      <c r="I22" s="107"/>
      <c r="J22" s="165"/>
      <c r="K22" s="203">
        <v>9938.3499999999913</v>
      </c>
      <c r="L22" s="107"/>
      <c r="M22" s="165"/>
      <c r="N22" s="203">
        <v>9858.17</v>
      </c>
      <c r="O22" s="107"/>
      <c r="P22" s="165"/>
      <c r="Q22" s="203">
        <v>6658.1699999999928</v>
      </c>
      <c r="R22" s="107"/>
      <c r="S22" s="165"/>
      <c r="T22" s="199">
        <v>18096.86</v>
      </c>
      <c r="U22" s="107"/>
      <c r="V22" s="165"/>
      <c r="W22" s="199">
        <f>+W20</f>
        <v>22556.86</v>
      </c>
      <c r="X22" s="107"/>
      <c r="Y22" s="165"/>
      <c r="Z22" s="191">
        <v>23235.189999999995</v>
      </c>
      <c r="AA22" s="107"/>
      <c r="AB22" s="165"/>
      <c r="AC22" s="191">
        <f>+AC20</f>
        <v>20011.22</v>
      </c>
      <c r="AD22" s="107"/>
      <c r="AE22" s="165"/>
      <c r="AF22" s="18">
        <f>+AF20</f>
        <v>21600.400000000001</v>
      </c>
      <c r="AG22" s="107"/>
      <c r="AH22" s="165"/>
      <c r="AI22" s="18">
        <f>+AI20+AI21</f>
        <v>18794.260000000002</v>
      </c>
      <c r="AJ22" s="107"/>
      <c r="AK22" s="165"/>
      <c r="AL22" s="18">
        <v>18723.849999999999</v>
      </c>
      <c r="AM22" s="107"/>
      <c r="AN22" s="165"/>
      <c r="AO22" s="18">
        <v>11230.880000000001</v>
      </c>
      <c r="AP22" s="107"/>
      <c r="AQ22" s="165"/>
      <c r="AR22" s="18">
        <v>10603.05</v>
      </c>
      <c r="AS22" s="107"/>
      <c r="AT22" s="166"/>
      <c r="AU22" s="18">
        <v>6087.08</v>
      </c>
      <c r="AV22" s="37"/>
      <c r="AW22" s="166"/>
      <c r="AX22" s="18">
        <v>635.5</v>
      </c>
    </row>
    <row r="23" spans="1:53" ht="19.5" customHeight="1" x14ac:dyDescent="0.2">
      <c r="E23" s="196"/>
      <c r="H23" s="196"/>
      <c r="K23" s="196"/>
      <c r="N23" s="196"/>
      <c r="Q23" s="196"/>
      <c r="T23" s="199"/>
      <c r="W23" s="199"/>
      <c r="Z23" s="191"/>
      <c r="AC23" s="191"/>
      <c r="AF23" s="18"/>
      <c r="AI23" s="18"/>
      <c r="AL23" s="18"/>
      <c r="AO23" s="18"/>
      <c r="AR23" s="18"/>
      <c r="AT23" s="5"/>
      <c r="AU23" s="18"/>
      <c r="AV23" s="37"/>
      <c r="AW23" s="5"/>
      <c r="AX23" s="18"/>
    </row>
    <row r="24" spans="1:53" ht="8.25" customHeight="1" x14ac:dyDescent="0.2">
      <c r="E24" s="196"/>
      <c r="H24" s="196"/>
      <c r="K24" s="196"/>
      <c r="N24" s="196"/>
      <c r="Q24" s="196"/>
      <c r="T24" s="199"/>
      <c r="W24" s="199"/>
      <c r="Z24" s="191"/>
      <c r="AC24" s="191"/>
      <c r="AF24" s="18"/>
      <c r="AI24" s="18"/>
      <c r="AL24" s="18"/>
      <c r="AO24" s="18"/>
      <c r="AR24" s="18"/>
      <c r="AT24" s="5"/>
      <c r="AU24" s="18"/>
      <c r="AV24" s="37"/>
      <c r="AW24" s="5"/>
      <c r="AX24" s="18"/>
    </row>
    <row r="25" spans="1:53" x14ac:dyDescent="0.2">
      <c r="AT25" s="5"/>
      <c r="AU25" s="7"/>
      <c r="AV25" s="7"/>
      <c r="AW25" s="5"/>
      <c r="AX25" s="7"/>
    </row>
    <row r="26" spans="1:53" x14ac:dyDescent="0.2">
      <c r="T26" s="200"/>
      <c r="W26" s="200"/>
      <c r="Z26" s="52"/>
      <c r="AC26" s="52"/>
      <c r="AF26" s="52"/>
      <c r="AI26" s="52"/>
      <c r="AL26" s="52"/>
      <c r="AO26" s="52"/>
      <c r="AR26" s="52"/>
    </row>
    <row r="27" spans="1:53" x14ac:dyDescent="0.2">
      <c r="A27" t="s">
        <v>31</v>
      </c>
      <c r="C27" s="147" t="s">
        <v>773</v>
      </c>
      <c r="D27" s="147"/>
      <c r="E27" s="147"/>
      <c r="F27" s="147"/>
      <c r="G27" s="147"/>
      <c r="H27" s="147"/>
      <c r="I27" s="147"/>
      <c r="L27" s="147"/>
      <c r="AU27" s="22"/>
      <c r="AV27" s="22"/>
      <c r="AX27" s="22"/>
    </row>
    <row r="28" spans="1:53" x14ac:dyDescent="0.2">
      <c r="A28" s="70" t="s">
        <v>470</v>
      </c>
      <c r="T28" s="200"/>
      <c r="BA28" s="12"/>
    </row>
    <row r="29" spans="1:53" x14ac:dyDescent="0.2">
      <c r="A29" t="s">
        <v>471</v>
      </c>
      <c r="E29" s="52"/>
      <c r="H29" s="52"/>
    </row>
    <row r="30" spans="1:53" x14ac:dyDescent="0.2">
      <c r="E30" s="224"/>
      <c r="H30" s="224"/>
    </row>
    <row r="31" spans="1:53" x14ac:dyDescent="0.2">
      <c r="E31" s="224"/>
      <c r="H31" s="224"/>
    </row>
  </sheetData>
  <mergeCells count="32">
    <mergeCell ref="AN4:AO4"/>
    <mergeCell ref="AQ4:AR4"/>
    <mergeCell ref="AT4:AU4"/>
    <mergeCell ref="AW4:AX4"/>
    <mergeCell ref="V4:W4"/>
    <mergeCell ref="Y4:Z4"/>
    <mergeCell ref="AB4:AC4"/>
    <mergeCell ref="AE4:AF4"/>
    <mergeCell ref="AH4:AI4"/>
    <mergeCell ref="AK4:AL4"/>
    <mergeCell ref="AN3:AO3"/>
    <mergeCell ref="AQ3:AR3"/>
    <mergeCell ref="AT3:AU3"/>
    <mergeCell ref="AW3:AX3"/>
    <mergeCell ref="D4:E4"/>
    <mergeCell ref="G4:H4"/>
    <mergeCell ref="J4:K4"/>
    <mergeCell ref="M4:N4"/>
    <mergeCell ref="P4:Q4"/>
    <mergeCell ref="S4:T4"/>
    <mergeCell ref="V3:W3"/>
    <mergeCell ref="Y3:Z3"/>
    <mergeCell ref="AB3:AC3"/>
    <mergeCell ref="AE3:AF3"/>
    <mergeCell ref="AH3:AI3"/>
    <mergeCell ref="AK3:AL3"/>
    <mergeCell ref="D3:E3"/>
    <mergeCell ref="G3:H3"/>
    <mergeCell ref="J3:K3"/>
    <mergeCell ref="M3:N3"/>
    <mergeCell ref="P3:Q3"/>
    <mergeCell ref="S3:T3"/>
  </mergeCells>
  <pageMargins left="0.74803149606299213" right="0.51181102362204722" top="0.98425196850393704" bottom="0.82677165354330717" header="0.51181102362204722" footer="0.51181102362204722"/>
  <pageSetup paperSize="9" scale="82" orientation="landscape" r:id="rId1"/>
  <headerFooter alignWithMargins="0">
    <oddFooter>&amp;L&amp;F, &amp;A&amp;R&amp;D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726B-28C9-42A7-B001-83D05C0B30DE}">
  <sheetPr>
    <pageSetUpPr fitToPage="1"/>
  </sheetPr>
  <dimension ref="A1:AR56"/>
  <sheetViews>
    <sheetView zoomScale="101" zoomScaleNormal="100" workbookViewId="0">
      <selection activeCell="C63" sqref="C63"/>
    </sheetView>
  </sheetViews>
  <sheetFormatPr defaultColWidth="8.85546875" defaultRowHeight="12.75" x14ac:dyDescent="0.2"/>
  <cols>
    <col min="1" max="1" width="2.42578125" customWidth="1"/>
    <col min="2" max="2" width="6.85546875" customWidth="1"/>
    <col min="3" max="3" width="25.85546875" customWidth="1"/>
    <col min="4" max="5" width="10.28515625" customWidth="1"/>
    <col min="6" max="6" width="2.42578125" customWidth="1"/>
    <col min="7" max="7" width="10.28515625" style="32" customWidth="1"/>
    <col min="8" max="8" width="10.28515625" style="4" customWidth="1"/>
    <col min="9" max="9" width="2.42578125" customWidth="1"/>
    <col min="10" max="10" width="10.28515625" style="32" bestFit="1" customWidth="1"/>
    <col min="11" max="11" width="9.7109375" style="4" customWidth="1"/>
    <col min="12" max="12" width="2.42578125" customWidth="1"/>
    <col min="13" max="13" width="10.140625" style="32" customWidth="1"/>
    <col min="14" max="14" width="10.28515625" style="4" customWidth="1"/>
    <col min="15" max="15" width="2.42578125" customWidth="1"/>
    <col min="16" max="16" width="10.140625" style="32" bestFit="1" customWidth="1"/>
    <col min="17" max="17" width="10.140625" bestFit="1" customWidth="1"/>
    <col min="18" max="18" width="2.42578125" customWidth="1"/>
    <col min="19" max="19" width="10.28515625" style="32" bestFit="1" customWidth="1"/>
    <col min="20" max="20" width="10.28515625" bestFit="1" customWidth="1"/>
    <col min="21" max="21" width="2.42578125" customWidth="1"/>
    <col min="22" max="22" width="10.28515625" style="32" bestFit="1" customWidth="1"/>
    <col min="23" max="23" width="10.28515625" bestFit="1" customWidth="1"/>
    <col min="24" max="24" width="2.42578125" customWidth="1"/>
    <col min="25" max="25" width="10.28515625" style="32" customWidth="1"/>
    <col min="27" max="27" width="2.42578125" customWidth="1"/>
    <col min="28" max="28" width="10.28515625" style="4" bestFit="1" customWidth="1"/>
    <col min="30" max="30" width="2.42578125" customWidth="1"/>
    <col min="32" max="32" width="10.28515625" bestFit="1" customWidth="1"/>
    <col min="33" max="33" width="2.42578125" customWidth="1"/>
    <col min="36" max="36" width="2.42578125" customWidth="1"/>
    <col min="37" max="37" width="9.140625" style="5" customWidth="1"/>
    <col min="39" max="39" width="2.42578125" customWidth="1"/>
    <col min="41" max="41" width="10.28515625" customWidth="1"/>
    <col min="42" max="42" width="2.42578125" customWidth="1"/>
    <col min="44" max="44" width="10.28515625" customWidth="1"/>
  </cols>
  <sheetData>
    <row r="1" spans="1:44" ht="20.25" x14ac:dyDescent="0.3">
      <c r="A1" s="10" t="s">
        <v>74</v>
      </c>
    </row>
    <row r="3" spans="1:44" x14ac:dyDescent="0.2">
      <c r="D3" s="233">
        <v>2023</v>
      </c>
      <c r="E3" s="234"/>
      <c r="G3" s="235" t="s">
        <v>713</v>
      </c>
      <c r="H3" s="236"/>
      <c r="J3" s="235" t="s">
        <v>702</v>
      </c>
      <c r="K3" s="236"/>
      <c r="M3" s="235" t="s">
        <v>640</v>
      </c>
      <c r="N3" s="236"/>
      <c r="P3" s="249" t="s">
        <v>587</v>
      </c>
      <c r="Q3" s="236"/>
      <c r="S3" s="249" t="s">
        <v>513</v>
      </c>
      <c r="T3" s="236"/>
      <c r="U3" s="27"/>
      <c r="V3" s="249" t="s">
        <v>439</v>
      </c>
      <c r="W3" s="236"/>
      <c r="X3" s="27"/>
      <c r="Y3" s="249" t="s">
        <v>369</v>
      </c>
      <c r="Z3" s="236"/>
      <c r="AA3" s="27"/>
      <c r="AB3" s="249" t="s">
        <v>343</v>
      </c>
      <c r="AC3" s="236"/>
      <c r="AD3" s="27"/>
      <c r="AE3" s="249" t="s">
        <v>290</v>
      </c>
      <c r="AF3" s="236"/>
      <c r="AG3" s="27"/>
      <c r="AH3" s="249" t="s">
        <v>244</v>
      </c>
      <c r="AI3" s="236"/>
      <c r="AJ3" s="27"/>
      <c r="AK3" s="249" t="s">
        <v>230</v>
      </c>
      <c r="AL3" s="236"/>
      <c r="AN3" s="250" t="s">
        <v>368</v>
      </c>
      <c r="AO3" s="236"/>
      <c r="AQ3" s="251" t="s">
        <v>75</v>
      </c>
      <c r="AR3" s="236"/>
    </row>
    <row r="4" spans="1:44" x14ac:dyDescent="0.2">
      <c r="D4" s="230" t="s">
        <v>73</v>
      </c>
      <c r="E4" s="231"/>
      <c r="G4" s="232" t="s">
        <v>73</v>
      </c>
      <c r="H4" s="231"/>
      <c r="J4" s="232" t="s">
        <v>73</v>
      </c>
      <c r="K4" s="231"/>
      <c r="M4" s="232" t="s">
        <v>73</v>
      </c>
      <c r="N4" s="231"/>
      <c r="P4" s="232" t="s">
        <v>73</v>
      </c>
      <c r="Q4" s="231"/>
      <c r="S4" s="232" t="s">
        <v>73</v>
      </c>
      <c r="T4" s="231"/>
      <c r="U4" s="28"/>
      <c r="V4" s="232" t="s">
        <v>73</v>
      </c>
      <c r="W4" s="231"/>
      <c r="X4" s="28"/>
      <c r="Y4" s="232" t="s">
        <v>73</v>
      </c>
      <c r="Z4" s="231"/>
      <c r="AA4" s="28"/>
      <c r="AB4" s="232" t="s">
        <v>73</v>
      </c>
      <c r="AC4" s="231"/>
      <c r="AD4" s="28"/>
      <c r="AE4" s="232" t="s">
        <v>73</v>
      </c>
      <c r="AF4" s="231"/>
      <c r="AG4" s="28"/>
      <c r="AH4" s="232" t="s">
        <v>73</v>
      </c>
      <c r="AI4" s="231"/>
      <c r="AJ4" s="28"/>
      <c r="AK4" s="232" t="s">
        <v>73</v>
      </c>
      <c r="AL4" s="231"/>
      <c r="AN4" s="232" t="s">
        <v>73</v>
      </c>
      <c r="AO4" s="231"/>
      <c r="AQ4" s="232" t="s">
        <v>73</v>
      </c>
      <c r="AR4" s="231"/>
    </row>
    <row r="5" spans="1:44" ht="15.75" x14ac:dyDescent="0.25">
      <c r="A5" s="2" t="s">
        <v>0</v>
      </c>
      <c r="D5" s="32"/>
      <c r="E5" s="8"/>
      <c r="H5" s="8"/>
      <c r="J5" s="32">
        <v>7500</v>
      </c>
      <c r="K5" s="8"/>
      <c r="M5" s="44"/>
      <c r="N5" s="8"/>
      <c r="P5" s="44"/>
      <c r="Q5" s="8"/>
      <c r="S5" s="44"/>
      <c r="T5" s="8"/>
      <c r="U5" s="7"/>
      <c r="V5" s="44"/>
      <c r="W5" s="8"/>
      <c r="X5" s="7"/>
      <c r="Y5" s="44"/>
      <c r="Z5" s="8"/>
      <c r="AA5" s="7"/>
      <c r="AB5" s="44"/>
      <c r="AC5" s="8"/>
      <c r="AD5" s="7"/>
      <c r="AE5" s="5"/>
      <c r="AF5" s="8"/>
      <c r="AG5" s="7"/>
      <c r="AH5" s="5"/>
      <c r="AI5" s="8"/>
      <c r="AJ5" s="7"/>
      <c r="AL5" s="8"/>
      <c r="AN5" s="5"/>
      <c r="AO5" s="8"/>
      <c r="AQ5" s="5"/>
      <c r="AR5" s="8"/>
    </row>
    <row r="6" spans="1:44" x14ac:dyDescent="0.2">
      <c r="A6" t="s">
        <v>11</v>
      </c>
      <c r="D6" s="32">
        <v>7500</v>
      </c>
      <c r="E6" s="8"/>
      <c r="G6" s="32">
        <f>-'kolommenbalans 2022'!H35</f>
        <v>7500</v>
      </c>
      <c r="H6" s="8"/>
      <c r="K6" s="8"/>
      <c r="M6" s="32">
        <v>7500</v>
      </c>
      <c r="N6" s="8"/>
      <c r="P6" s="32">
        <f>+'winst en verlies 2019'!D6</f>
        <v>30965.32</v>
      </c>
      <c r="Q6" s="8"/>
      <c r="S6" s="32">
        <f>'kolommenbalans 2018'!K44</f>
        <v>19796.57</v>
      </c>
      <c r="T6" s="8"/>
      <c r="U6" s="7"/>
      <c r="V6" s="32">
        <v>20251.940000000002</v>
      </c>
      <c r="W6" s="8"/>
      <c r="X6" s="7"/>
      <c r="Y6" s="32">
        <v>18100</v>
      </c>
      <c r="Z6" s="8"/>
      <c r="AA6" s="7"/>
      <c r="AB6" s="32">
        <v>21500</v>
      </c>
      <c r="AC6" s="8"/>
      <c r="AD6" s="7"/>
      <c r="AE6" s="4">
        <v>7500</v>
      </c>
      <c r="AF6" s="8"/>
      <c r="AG6" s="7"/>
      <c r="AI6" s="8"/>
      <c r="AJ6" s="7"/>
      <c r="AK6"/>
      <c r="AL6" s="8"/>
      <c r="AN6" s="5">
        <v>7500</v>
      </c>
      <c r="AO6" s="8"/>
      <c r="AR6" s="8"/>
    </row>
    <row r="7" spans="1:44" x14ac:dyDescent="0.2">
      <c r="A7" t="s">
        <v>1</v>
      </c>
      <c r="D7" s="32"/>
      <c r="E7" s="8"/>
      <c r="H7" s="8"/>
      <c r="K7" s="8"/>
      <c r="M7" s="32">
        <v>0</v>
      </c>
      <c r="N7" s="8"/>
      <c r="P7" s="32">
        <v>0</v>
      </c>
      <c r="Q7" s="8"/>
      <c r="S7" s="32">
        <v>0</v>
      </c>
      <c r="T7" s="8"/>
      <c r="U7" s="7"/>
      <c r="V7" s="32">
        <v>0</v>
      </c>
      <c r="W7" s="8"/>
      <c r="X7" s="7"/>
      <c r="Y7" s="32">
        <f>+'winst en verlies 2016'!G7</f>
        <v>0</v>
      </c>
      <c r="Z7" s="8"/>
      <c r="AA7" s="7"/>
      <c r="AB7" s="32">
        <v>0</v>
      </c>
      <c r="AC7" s="8"/>
      <c r="AD7" s="7"/>
      <c r="AE7" s="5">
        <v>0</v>
      </c>
      <c r="AF7" s="8"/>
      <c r="AG7" s="7"/>
      <c r="AH7" s="5">
        <v>0</v>
      </c>
      <c r="AI7" s="8"/>
      <c r="AJ7" s="7"/>
      <c r="AK7" s="5">
        <v>0</v>
      </c>
      <c r="AL7" s="8"/>
      <c r="AN7" s="5">
        <v>0</v>
      </c>
      <c r="AO7" s="8"/>
      <c r="AQ7" s="5">
        <v>0</v>
      </c>
      <c r="AR7" s="8"/>
    </row>
    <row r="8" spans="1:44" x14ac:dyDescent="0.2">
      <c r="A8" t="s">
        <v>2</v>
      </c>
      <c r="D8" s="32"/>
      <c r="E8" s="8"/>
      <c r="H8" s="8"/>
      <c r="J8" s="32">
        <v>168.00000000000003</v>
      </c>
      <c r="K8" s="8"/>
      <c r="M8" s="32">
        <v>0</v>
      </c>
      <c r="N8" s="8"/>
      <c r="P8" s="32">
        <v>0</v>
      </c>
      <c r="Q8" s="8"/>
      <c r="S8" s="32">
        <v>0</v>
      </c>
      <c r="T8" s="8"/>
      <c r="U8" s="7"/>
      <c r="V8" s="32">
        <v>0</v>
      </c>
      <c r="W8" s="8"/>
      <c r="X8" s="7"/>
      <c r="Y8" s="32">
        <f>+'winst en verlies 2016'!G8</f>
        <v>0</v>
      </c>
      <c r="Z8" s="8"/>
      <c r="AA8" s="7"/>
      <c r="AB8" s="32">
        <v>0</v>
      </c>
      <c r="AC8" s="8"/>
      <c r="AD8" s="7"/>
      <c r="AE8" s="5">
        <v>0</v>
      </c>
      <c r="AF8" s="8"/>
      <c r="AG8" s="7"/>
      <c r="AH8" s="5">
        <v>7500</v>
      </c>
      <c r="AI8" s="8"/>
      <c r="AJ8" s="7"/>
      <c r="AK8" s="5">
        <v>7500</v>
      </c>
      <c r="AL8" s="8"/>
      <c r="AN8" s="5"/>
      <c r="AO8" s="8"/>
      <c r="AQ8" s="5">
        <v>7500</v>
      </c>
      <c r="AR8" s="8"/>
    </row>
    <row r="9" spans="1:44" x14ac:dyDescent="0.2">
      <c r="A9" s="70" t="s">
        <v>432</v>
      </c>
      <c r="D9" s="32">
        <f>+E43</f>
        <v>372.89999999999986</v>
      </c>
      <c r="E9" s="8"/>
      <c r="G9" s="32">
        <v>221.11</v>
      </c>
      <c r="H9" s="8"/>
      <c r="J9" s="32">
        <v>0</v>
      </c>
      <c r="K9" s="8"/>
      <c r="M9" s="32">
        <v>168.92999999999998</v>
      </c>
      <c r="N9" s="8"/>
      <c r="P9" s="32">
        <f>+'winst en verlies 2019'!D9</f>
        <v>253.60000000000002</v>
      </c>
      <c r="Q9" s="8"/>
      <c r="S9" s="32">
        <f>-'kolommenbalans 2018'!N38</f>
        <v>119.92</v>
      </c>
      <c r="T9" s="8"/>
      <c r="U9" s="7"/>
      <c r="V9" s="32">
        <v>173.56</v>
      </c>
      <c r="W9" s="8"/>
      <c r="X9" s="7"/>
      <c r="Y9" s="32">
        <v>334.54</v>
      </c>
      <c r="Z9" s="8"/>
      <c r="AA9" s="7"/>
      <c r="AB9" s="32"/>
      <c r="AC9" s="8"/>
      <c r="AD9" s="7"/>
      <c r="AE9" s="5"/>
      <c r="AF9" s="8"/>
      <c r="AG9" s="7"/>
      <c r="AH9" s="5"/>
      <c r="AI9" s="8"/>
      <c r="AJ9" s="7"/>
      <c r="AL9" s="8"/>
      <c r="AN9" s="5"/>
      <c r="AO9" s="8"/>
      <c r="AQ9" s="5"/>
      <c r="AR9" s="8"/>
    </row>
    <row r="10" spans="1:44" ht="13.5" thickBot="1" x14ac:dyDescent="0.25">
      <c r="A10" s="70" t="s">
        <v>431</v>
      </c>
      <c r="D10" s="103">
        <f>1688.38-1675.01</f>
        <v>13.370000000000118</v>
      </c>
      <c r="E10" s="8"/>
      <c r="G10" s="103"/>
      <c r="H10" s="8"/>
      <c r="J10" s="103">
        <v>0</v>
      </c>
      <c r="K10" s="8"/>
      <c r="M10" s="103">
        <v>0</v>
      </c>
      <c r="N10" s="8"/>
      <c r="P10" s="103">
        <f>'kolommenbalans 2018'!I44</f>
        <v>0</v>
      </c>
      <c r="Q10" s="8"/>
      <c r="S10" s="103">
        <f>'kolommenbalans 2018'!L44</f>
        <v>3.67</v>
      </c>
      <c r="T10" s="8"/>
      <c r="U10" s="7"/>
      <c r="V10" s="103">
        <v>14.62</v>
      </c>
      <c r="W10" s="8"/>
      <c r="X10" s="7"/>
      <c r="Y10" s="103">
        <v>32.479999999999997</v>
      </c>
      <c r="Z10" s="8"/>
      <c r="AA10" s="7"/>
      <c r="AB10" s="103">
        <v>217.11</v>
      </c>
      <c r="AC10" s="8"/>
      <c r="AD10" s="7"/>
      <c r="AE10" s="6">
        <v>183</v>
      </c>
      <c r="AF10" s="8"/>
      <c r="AG10" s="7"/>
      <c r="AH10" s="6">
        <v>112</v>
      </c>
      <c r="AI10" s="8"/>
      <c r="AJ10" s="7"/>
      <c r="AK10" s="6">
        <v>62</v>
      </c>
      <c r="AL10" s="8"/>
      <c r="AN10" s="6">
        <v>100</v>
      </c>
      <c r="AO10" s="8"/>
      <c r="AQ10" s="6">
        <v>86.56</v>
      </c>
      <c r="AR10" s="8"/>
    </row>
    <row r="11" spans="1:44" ht="19.5" customHeight="1" x14ac:dyDescent="0.2">
      <c r="A11" s="3" t="s">
        <v>3</v>
      </c>
      <c r="D11" s="32"/>
      <c r="E11" s="8">
        <f>+D9+D6+D10</f>
        <v>7886.2699999999995</v>
      </c>
      <c r="G11" s="86"/>
      <c r="H11" s="8">
        <f>+G9+G6</f>
        <v>7721.11</v>
      </c>
      <c r="J11" s="86"/>
      <c r="K11" s="8">
        <v>7668</v>
      </c>
      <c r="M11" s="86"/>
      <c r="N11" s="8">
        <v>7668.93</v>
      </c>
      <c r="P11" s="86"/>
      <c r="Q11" s="8">
        <f>SUM(P6:P10)</f>
        <v>31218.92</v>
      </c>
      <c r="S11" s="86"/>
      <c r="T11" s="8">
        <f>SUM(S6:S10)</f>
        <v>19920.159999999996</v>
      </c>
      <c r="U11" s="7"/>
      <c r="V11" s="86"/>
      <c r="W11" s="8">
        <v>20440.120000000003</v>
      </c>
      <c r="X11" s="7"/>
      <c r="Y11" s="86"/>
      <c r="Z11" s="8">
        <f>SUM(Y6:Y10)</f>
        <v>18467.02</v>
      </c>
      <c r="AA11" s="7"/>
      <c r="AB11" s="86"/>
      <c r="AC11" s="8">
        <v>21717.11</v>
      </c>
      <c r="AD11" s="7"/>
      <c r="AE11" s="7"/>
      <c r="AF11" s="8">
        <f>SUM(AE6:AE10)</f>
        <v>7683</v>
      </c>
      <c r="AG11" s="7"/>
      <c r="AH11" s="7"/>
      <c r="AI11" s="8">
        <f>SUM(AH7:AH10)</f>
        <v>7612</v>
      </c>
      <c r="AJ11" s="7"/>
      <c r="AK11" s="7"/>
      <c r="AL11" s="8">
        <f>SUM(AK7:AK10)</f>
        <v>7562</v>
      </c>
      <c r="AN11" s="7"/>
      <c r="AO11" s="8">
        <f>SUM(AN6:AN10)</f>
        <v>7600</v>
      </c>
      <c r="AQ11" s="7"/>
      <c r="AR11" s="8">
        <v>7586.56</v>
      </c>
    </row>
    <row r="12" spans="1:44" x14ac:dyDescent="0.2">
      <c r="D12" s="32"/>
      <c r="E12" s="8"/>
      <c r="H12" s="8"/>
      <c r="K12" s="8"/>
      <c r="M12" s="44"/>
      <c r="N12" s="8"/>
      <c r="P12" s="44"/>
      <c r="Q12" s="8"/>
      <c r="S12" s="44"/>
      <c r="T12" s="8"/>
      <c r="U12" s="7"/>
      <c r="V12" s="44"/>
      <c r="W12" s="8"/>
      <c r="X12" s="7"/>
      <c r="Y12" s="44"/>
      <c r="Z12" s="8"/>
      <c r="AA12" s="7"/>
      <c r="AB12" s="44"/>
      <c r="AC12" s="8"/>
      <c r="AD12" s="7"/>
      <c r="AE12" s="5"/>
      <c r="AF12" s="8"/>
      <c r="AG12" s="7"/>
      <c r="AH12" s="5"/>
      <c r="AI12" s="8"/>
      <c r="AJ12" s="7"/>
      <c r="AL12" s="8"/>
      <c r="AN12" s="5"/>
      <c r="AO12" s="8"/>
      <c r="AQ12" s="5"/>
      <c r="AR12" s="8"/>
    </row>
    <row r="13" spans="1:44" x14ac:dyDescent="0.2">
      <c r="A13" t="s">
        <v>4</v>
      </c>
      <c r="D13" s="32">
        <v>0</v>
      </c>
      <c r="E13" s="8"/>
      <c r="G13" s="44">
        <v>0</v>
      </c>
      <c r="H13" s="8"/>
      <c r="J13" s="44">
        <v>0</v>
      </c>
      <c r="K13" s="8"/>
      <c r="M13" s="44">
        <v>0</v>
      </c>
      <c r="N13" s="8"/>
      <c r="P13" s="44">
        <v>0</v>
      </c>
      <c r="Q13" s="8"/>
      <c r="S13" s="44">
        <v>0</v>
      </c>
      <c r="T13" s="8"/>
      <c r="U13" s="7"/>
      <c r="V13" s="44">
        <v>0</v>
      </c>
      <c r="W13" s="8"/>
      <c r="X13" s="7"/>
      <c r="Y13" s="44">
        <v>0</v>
      </c>
      <c r="Z13" s="8"/>
      <c r="AA13" s="7"/>
      <c r="AB13" s="44">
        <v>0</v>
      </c>
      <c r="AC13" s="8"/>
      <c r="AD13" s="7"/>
      <c r="AE13" s="5">
        <v>0</v>
      </c>
      <c r="AF13" s="8"/>
      <c r="AG13" s="7"/>
      <c r="AH13" s="5">
        <v>0</v>
      </c>
      <c r="AI13" s="8"/>
      <c r="AJ13" s="7"/>
      <c r="AK13" s="5">
        <v>0</v>
      </c>
      <c r="AL13" s="8"/>
      <c r="AN13" s="5">
        <v>0</v>
      </c>
      <c r="AO13" s="8"/>
      <c r="AQ13" s="5">
        <v>0</v>
      </c>
      <c r="AR13" s="8"/>
    </row>
    <row r="14" spans="1:44" ht="13.5" thickBot="1" x14ac:dyDescent="0.25">
      <c r="A14" t="s">
        <v>5</v>
      </c>
      <c r="D14" s="103">
        <v>0</v>
      </c>
      <c r="E14" s="8">
        <v>0</v>
      </c>
      <c r="G14" s="85">
        <v>0</v>
      </c>
      <c r="H14" s="8">
        <v>0</v>
      </c>
      <c r="J14" s="85">
        <v>0</v>
      </c>
      <c r="K14" s="8">
        <v>0</v>
      </c>
      <c r="M14" s="85">
        <v>0</v>
      </c>
      <c r="N14" s="8"/>
      <c r="P14" s="85">
        <v>0</v>
      </c>
      <c r="Q14" s="8"/>
      <c r="S14" s="85">
        <v>0</v>
      </c>
      <c r="T14" s="8"/>
      <c r="U14" s="7"/>
      <c r="V14" s="85">
        <v>0</v>
      </c>
      <c r="W14" s="8"/>
      <c r="X14" s="7"/>
      <c r="Y14" s="85">
        <v>0</v>
      </c>
      <c r="Z14" s="8"/>
      <c r="AA14" s="7"/>
      <c r="AB14" s="85">
        <v>0</v>
      </c>
      <c r="AC14" s="8"/>
      <c r="AD14" s="7"/>
      <c r="AE14" s="6">
        <v>0</v>
      </c>
      <c r="AF14" s="8"/>
      <c r="AG14" s="7"/>
      <c r="AH14" s="6">
        <v>0</v>
      </c>
      <c r="AI14" s="8"/>
      <c r="AJ14" s="7"/>
      <c r="AK14" s="6">
        <v>0</v>
      </c>
      <c r="AL14" s="8"/>
      <c r="AN14" s="6">
        <v>0</v>
      </c>
      <c r="AO14" s="8"/>
      <c r="AQ14" s="6">
        <v>0</v>
      </c>
      <c r="AR14" s="8"/>
    </row>
    <row r="15" spans="1:44" ht="19.5" customHeight="1" x14ac:dyDescent="0.2">
      <c r="A15" s="3" t="s">
        <v>6</v>
      </c>
      <c r="D15" s="32"/>
      <c r="E15" s="8">
        <v>0</v>
      </c>
      <c r="H15" s="8">
        <v>0</v>
      </c>
      <c r="K15" s="8">
        <v>0</v>
      </c>
      <c r="M15" s="86"/>
      <c r="N15" s="8">
        <v>0</v>
      </c>
      <c r="P15" s="86"/>
      <c r="Q15" s="8">
        <f>-SUM(P13:P14)</f>
        <v>0</v>
      </c>
      <c r="S15" s="86"/>
      <c r="T15" s="8">
        <f>-SUM(S13:S14)</f>
        <v>0</v>
      </c>
      <c r="U15" s="7"/>
      <c r="V15" s="86"/>
      <c r="W15" s="8">
        <v>0</v>
      </c>
      <c r="X15" s="7"/>
      <c r="Y15" s="86"/>
      <c r="Z15" s="8">
        <f>-SUM(Y13:Y14)</f>
        <v>0</v>
      </c>
      <c r="AA15" s="7"/>
      <c r="AB15" s="86"/>
      <c r="AC15" s="8">
        <v>0</v>
      </c>
      <c r="AD15" s="7"/>
      <c r="AE15" s="7"/>
      <c r="AF15" s="8">
        <f>-SUM(AE13:AE14)</f>
        <v>0</v>
      </c>
      <c r="AG15" s="7"/>
      <c r="AH15" s="7"/>
      <c r="AI15" s="8">
        <f>-SUM(AH13:AH14)</f>
        <v>0</v>
      </c>
      <c r="AJ15" s="7"/>
      <c r="AK15" s="7"/>
      <c r="AL15" s="8">
        <f>-SUM(AK13:AK14)</f>
        <v>0</v>
      </c>
      <c r="AN15" s="7"/>
      <c r="AO15" s="8">
        <f>-SUM(AN13:AN14)</f>
        <v>0</v>
      </c>
      <c r="AQ15" s="7"/>
      <c r="AR15" s="8">
        <v>0</v>
      </c>
    </row>
    <row r="16" spans="1:44" ht="13.5" thickBot="1" x14ac:dyDescent="0.25">
      <c r="A16" t="s">
        <v>14</v>
      </c>
      <c r="D16" s="32"/>
      <c r="E16" s="19">
        <v>0</v>
      </c>
      <c r="H16" s="19">
        <v>0</v>
      </c>
      <c r="K16" s="19">
        <v>0</v>
      </c>
      <c r="M16" s="44"/>
      <c r="N16" s="19">
        <f>+N15/N11</f>
        <v>0</v>
      </c>
      <c r="P16" s="44"/>
      <c r="Q16" s="19">
        <f>+Q15/Q11</f>
        <v>0</v>
      </c>
      <c r="S16" s="44"/>
      <c r="T16" s="19">
        <f>+T15/T11</f>
        <v>0</v>
      </c>
      <c r="U16" s="26"/>
      <c r="V16" s="44"/>
      <c r="W16" s="19">
        <v>0</v>
      </c>
      <c r="X16" s="26"/>
      <c r="Y16" s="44"/>
      <c r="Z16" s="19">
        <f>+Z15/Z11</f>
        <v>0</v>
      </c>
      <c r="AA16" s="26"/>
      <c r="AB16" s="44"/>
      <c r="AC16" s="19">
        <v>0</v>
      </c>
      <c r="AD16" s="26"/>
      <c r="AE16" s="5"/>
      <c r="AF16" s="19">
        <f>+AF15/AF11</f>
        <v>0</v>
      </c>
      <c r="AG16" s="26"/>
      <c r="AH16" s="5"/>
      <c r="AI16" s="19">
        <f>+AI15/AI11</f>
        <v>0</v>
      </c>
      <c r="AJ16" s="26"/>
      <c r="AL16" s="19">
        <f>+AL15/AL11</f>
        <v>0</v>
      </c>
      <c r="AN16" s="5"/>
      <c r="AO16" s="19">
        <f>+AO15/AO11</f>
        <v>0</v>
      </c>
      <c r="AQ16" s="5"/>
      <c r="AR16" s="19">
        <v>0</v>
      </c>
    </row>
    <row r="17" spans="1:44" ht="19.5" customHeight="1" x14ac:dyDescent="0.2">
      <c r="A17" s="3" t="s">
        <v>8</v>
      </c>
      <c r="D17" s="32"/>
      <c r="E17" s="214">
        <f>+E11</f>
        <v>7886.2699999999995</v>
      </c>
      <c r="H17" s="214">
        <f>+H11</f>
        <v>7721.11</v>
      </c>
      <c r="K17" s="214">
        <v>7668</v>
      </c>
      <c r="M17" s="86"/>
      <c r="N17" s="8">
        <v>7668.93</v>
      </c>
      <c r="P17" s="86"/>
      <c r="Q17" s="8">
        <f>+Q11+Q15</f>
        <v>31218.92</v>
      </c>
      <c r="S17" s="86"/>
      <c r="T17" s="8">
        <f>+T11+T15</f>
        <v>19920.159999999996</v>
      </c>
      <c r="U17" s="7"/>
      <c r="V17" s="86"/>
      <c r="W17" s="8">
        <v>20440.120000000003</v>
      </c>
      <c r="X17" s="7"/>
      <c r="Y17" s="86"/>
      <c r="Z17" s="8">
        <f>+Z11+Z15</f>
        <v>18467.02</v>
      </c>
      <c r="AA17" s="7"/>
      <c r="AB17" s="86"/>
      <c r="AC17" s="8">
        <v>21717.11</v>
      </c>
      <c r="AD17" s="7"/>
      <c r="AE17" s="7"/>
      <c r="AF17" s="8">
        <f>+AF11+AF15</f>
        <v>7683</v>
      </c>
      <c r="AG17" s="7"/>
      <c r="AH17" s="7"/>
      <c r="AI17" s="8">
        <f>+AI11+AI15</f>
        <v>7612</v>
      </c>
      <c r="AJ17" s="7"/>
      <c r="AK17" s="7"/>
      <c r="AL17" s="8">
        <f>+AL11+AL15</f>
        <v>7562</v>
      </c>
      <c r="AN17" s="7"/>
      <c r="AO17" s="8">
        <f>+AO11+AO15</f>
        <v>7600</v>
      </c>
      <c r="AQ17" s="7"/>
      <c r="AR17" s="8">
        <v>7586.56</v>
      </c>
    </row>
    <row r="18" spans="1:44" ht="13.5" thickBot="1" x14ac:dyDescent="0.25">
      <c r="A18" t="s">
        <v>7</v>
      </c>
      <c r="D18" s="32"/>
      <c r="E18" s="16"/>
      <c r="H18" s="16"/>
      <c r="K18" s="16"/>
      <c r="M18" s="44"/>
      <c r="N18" s="16">
        <v>0</v>
      </c>
      <c r="P18" s="44"/>
      <c r="Q18" s="16">
        <v>0</v>
      </c>
      <c r="S18" s="44"/>
      <c r="T18" s="16">
        <v>0</v>
      </c>
      <c r="U18" s="7"/>
      <c r="V18" s="44"/>
      <c r="W18" s="16">
        <v>0</v>
      </c>
      <c r="X18" s="7"/>
      <c r="Y18" s="44"/>
      <c r="Z18" s="16">
        <v>0</v>
      </c>
      <c r="AA18" s="7"/>
      <c r="AB18" s="44"/>
      <c r="AC18" s="16">
        <v>0</v>
      </c>
      <c r="AD18" s="7"/>
      <c r="AE18" s="5"/>
      <c r="AF18" s="16">
        <v>0</v>
      </c>
      <c r="AG18" s="7"/>
      <c r="AH18" s="5"/>
      <c r="AI18" s="16">
        <v>0</v>
      </c>
      <c r="AJ18" s="7"/>
      <c r="AL18" s="16">
        <v>0</v>
      </c>
      <c r="AN18" s="5"/>
      <c r="AO18" s="16">
        <v>0</v>
      </c>
      <c r="AQ18" s="5"/>
      <c r="AR18" s="16">
        <v>0</v>
      </c>
    </row>
    <row r="19" spans="1:44" ht="19.5" customHeight="1" x14ac:dyDescent="0.2">
      <c r="A19" s="3" t="s">
        <v>9</v>
      </c>
      <c r="D19" s="32"/>
      <c r="E19" s="8">
        <f>+E17</f>
        <v>7886.2699999999995</v>
      </c>
      <c r="H19" s="8">
        <f>+H17</f>
        <v>7721.11</v>
      </c>
      <c r="K19" s="8">
        <f>+K17</f>
        <v>7668</v>
      </c>
      <c r="M19" s="86"/>
      <c r="N19" s="8">
        <v>7668.93</v>
      </c>
      <c r="P19" s="86"/>
      <c r="Q19" s="8">
        <f>+Q18+Q17</f>
        <v>31218.92</v>
      </c>
      <c r="S19" s="86"/>
      <c r="T19" s="8">
        <f>+T18+T17</f>
        <v>19920.159999999996</v>
      </c>
      <c r="U19" s="7"/>
      <c r="V19" s="86"/>
      <c r="W19" s="8">
        <v>20440.120000000003</v>
      </c>
      <c r="X19" s="7"/>
      <c r="Y19" s="86"/>
      <c r="Z19" s="8">
        <f>+Z18+Z17</f>
        <v>18467.02</v>
      </c>
      <c r="AA19" s="7"/>
      <c r="AB19" s="86"/>
      <c r="AC19" s="8">
        <v>21717.11</v>
      </c>
      <c r="AD19" s="7"/>
      <c r="AE19" s="7"/>
      <c r="AF19" s="8">
        <f>+AF18+AF17</f>
        <v>7683</v>
      </c>
      <c r="AG19" s="7"/>
      <c r="AH19" s="7"/>
      <c r="AI19" s="8">
        <f>+AI18+AI17</f>
        <v>7612</v>
      </c>
      <c r="AJ19" s="7"/>
      <c r="AK19" s="7"/>
      <c r="AL19" s="8">
        <f>+AL18+AL17</f>
        <v>7562</v>
      </c>
      <c r="AN19" s="7"/>
      <c r="AO19" s="8">
        <f>+AO18+AO17</f>
        <v>7600</v>
      </c>
      <c r="AQ19" s="7"/>
      <c r="AR19" s="8">
        <v>7586.56</v>
      </c>
    </row>
    <row r="20" spans="1:44" x14ac:dyDescent="0.2">
      <c r="D20" s="32"/>
      <c r="E20" s="8"/>
      <c r="H20" s="8"/>
      <c r="K20" s="8"/>
      <c r="M20" s="44"/>
      <c r="N20" s="8"/>
      <c r="P20" s="44"/>
      <c r="Q20" s="8"/>
      <c r="S20" s="44"/>
      <c r="T20" s="8"/>
      <c r="U20" s="7"/>
      <c r="V20" s="44"/>
      <c r="W20" s="8"/>
      <c r="X20" s="7"/>
      <c r="Y20" s="44"/>
      <c r="Z20" s="8"/>
      <c r="AA20" s="7"/>
      <c r="AB20" s="44"/>
      <c r="AC20" s="8"/>
      <c r="AD20" s="7"/>
      <c r="AE20" s="5"/>
      <c r="AF20" s="8"/>
      <c r="AG20" s="7"/>
      <c r="AH20" s="5"/>
      <c r="AI20" s="8"/>
      <c r="AJ20" s="7"/>
      <c r="AL20" s="8"/>
      <c r="AN20" s="5"/>
      <c r="AO20" s="8"/>
      <c r="AQ20" s="5"/>
      <c r="AR20" s="8"/>
    </row>
    <row r="21" spans="1:44" ht="15.75" x14ac:dyDescent="0.25">
      <c r="A21" s="2" t="s">
        <v>10</v>
      </c>
      <c r="D21" s="32"/>
      <c r="E21" s="8"/>
      <c r="H21" s="8"/>
      <c r="J21" s="32">
        <v>0</v>
      </c>
      <c r="K21" s="8"/>
      <c r="M21" s="44"/>
      <c r="N21" s="8"/>
      <c r="P21" s="44"/>
      <c r="Q21" s="8"/>
      <c r="S21" s="44"/>
      <c r="T21" s="8"/>
      <c r="U21" s="7"/>
      <c r="V21" s="44"/>
      <c r="W21" s="8"/>
      <c r="X21" s="7"/>
      <c r="Y21" s="44"/>
      <c r="Z21" s="8"/>
      <c r="AA21" s="7"/>
      <c r="AB21" s="44"/>
      <c r="AC21" s="8"/>
      <c r="AD21" s="7"/>
      <c r="AE21" s="5"/>
      <c r="AF21" s="8"/>
      <c r="AG21" s="7"/>
      <c r="AH21" s="5"/>
      <c r="AI21" s="8"/>
      <c r="AJ21" s="7"/>
      <c r="AL21" s="8"/>
      <c r="AN21" s="5"/>
      <c r="AO21" s="8"/>
      <c r="AQ21" s="5"/>
      <c r="AR21" s="8"/>
    </row>
    <row r="22" spans="1:44" x14ac:dyDescent="0.2">
      <c r="A22" s="70" t="s">
        <v>578</v>
      </c>
      <c r="D22" s="32">
        <v>4100</v>
      </c>
      <c r="E22" s="8"/>
      <c r="G22" s="32">
        <f>6000</f>
        <v>6000</v>
      </c>
      <c r="H22" s="8"/>
      <c r="J22" s="32">
        <v>0</v>
      </c>
      <c r="K22" s="8"/>
      <c r="M22" s="32">
        <v>17500</v>
      </c>
      <c r="N22" s="8"/>
      <c r="P22" s="44">
        <v>0</v>
      </c>
      <c r="Q22" s="8"/>
      <c r="S22" s="44">
        <f>+'kolommenbalans 2018'!O35</f>
        <v>12768.57</v>
      </c>
      <c r="T22" s="8"/>
      <c r="U22" s="7"/>
      <c r="V22" s="44">
        <v>14851.94</v>
      </c>
      <c r="W22" s="8"/>
      <c r="X22" s="7"/>
      <c r="Y22" s="44">
        <v>32271.66</v>
      </c>
      <c r="Z22" s="8"/>
      <c r="AA22" s="7"/>
      <c r="AB22" s="44">
        <v>12747.69</v>
      </c>
      <c r="AC22" s="8"/>
      <c r="AD22" s="7"/>
      <c r="AE22" s="5">
        <v>6000</v>
      </c>
      <c r="AF22" s="8"/>
      <c r="AG22" s="7"/>
      <c r="AH22" s="5">
        <v>0</v>
      </c>
      <c r="AI22" s="8"/>
      <c r="AJ22" s="7"/>
      <c r="AK22" s="5">
        <v>0</v>
      </c>
      <c r="AL22" s="8"/>
      <c r="AN22" s="5">
        <v>7500</v>
      </c>
      <c r="AO22" s="8"/>
      <c r="AQ22" s="5">
        <v>5053.45</v>
      </c>
      <c r="AR22" s="8"/>
    </row>
    <row r="23" spans="1:44" x14ac:dyDescent="0.2">
      <c r="A23" s="70" t="s">
        <v>580</v>
      </c>
      <c r="D23" s="32"/>
      <c r="E23" s="8"/>
      <c r="G23" s="44">
        <f>+'kolommenbalans 2022'!D68+'kolommenbalans 2022'!D69</f>
        <v>4500</v>
      </c>
      <c r="H23" s="8"/>
      <c r="J23" s="44">
        <v>0</v>
      </c>
      <c r="K23" s="8"/>
      <c r="M23" s="44">
        <v>8500</v>
      </c>
      <c r="N23" s="8"/>
      <c r="P23" s="44">
        <f>+'winst en verlies 2019'!D23</f>
        <v>500</v>
      </c>
      <c r="Q23" s="8"/>
      <c r="S23" s="44">
        <f>-'kolommenbalans 2018'!H39</f>
        <v>15000</v>
      </c>
      <c r="T23" s="8"/>
      <c r="U23" s="7"/>
      <c r="V23" s="44"/>
      <c r="W23" s="8"/>
      <c r="X23" s="7"/>
      <c r="Y23" s="44"/>
      <c r="Z23" s="8"/>
      <c r="AA23" s="7"/>
      <c r="AB23" s="44"/>
      <c r="AC23" s="8"/>
      <c r="AD23" s="7"/>
      <c r="AE23" s="5"/>
      <c r="AF23" s="8"/>
      <c r="AG23" s="7"/>
      <c r="AH23" s="5"/>
      <c r="AI23" s="8"/>
      <c r="AJ23" s="7"/>
      <c r="AL23" s="8"/>
      <c r="AN23" s="5"/>
      <c r="AO23" s="8"/>
      <c r="AQ23" s="5"/>
      <c r="AR23" s="8"/>
    </row>
    <row r="24" spans="1:44" x14ac:dyDescent="0.2">
      <c r="A24" s="70" t="s">
        <v>579</v>
      </c>
      <c r="D24" s="32"/>
      <c r="E24" s="8"/>
      <c r="H24" s="8"/>
      <c r="J24" s="72">
        <v>0</v>
      </c>
      <c r="K24" s="8"/>
      <c r="M24" s="72"/>
      <c r="N24" s="8"/>
      <c r="P24" s="72">
        <f>+'winst en verlies 2019'!D24</f>
        <v>23465.32</v>
      </c>
      <c r="Q24" s="8"/>
      <c r="S24" s="72"/>
      <c r="T24" s="8"/>
      <c r="U24" s="7"/>
      <c r="V24" s="44">
        <v>-3000</v>
      </c>
      <c r="W24" s="8"/>
      <c r="X24" s="7"/>
      <c r="Y24" s="44">
        <v>2500</v>
      </c>
      <c r="Z24" s="8"/>
      <c r="AA24" s="7"/>
      <c r="AB24" s="44">
        <v>5500</v>
      </c>
      <c r="AC24" s="8"/>
      <c r="AD24" s="7"/>
      <c r="AE24" s="5"/>
      <c r="AF24" s="8"/>
      <c r="AG24" s="7"/>
      <c r="AH24" s="5"/>
      <c r="AI24" s="8"/>
      <c r="AJ24" s="7"/>
      <c r="AL24" s="8"/>
      <c r="AN24" s="5"/>
      <c r="AO24" s="8"/>
      <c r="AQ24" s="5"/>
      <c r="AR24" s="8"/>
    </row>
    <row r="25" spans="1:44" ht="12.75" hidden="1" customHeight="1" x14ac:dyDescent="0.2">
      <c r="A25" s="99" t="s">
        <v>421</v>
      </c>
      <c r="D25" s="32">
        <v>0</v>
      </c>
      <c r="E25" s="8"/>
      <c r="G25" s="44">
        <v>0</v>
      </c>
      <c r="H25" s="8"/>
      <c r="K25" s="8"/>
      <c r="M25" s="44"/>
      <c r="N25" s="8"/>
      <c r="P25" s="44">
        <v>0</v>
      </c>
      <c r="Q25" s="8"/>
      <c r="S25" s="44">
        <v>0</v>
      </c>
      <c r="T25" s="8"/>
      <c r="U25" s="7"/>
      <c r="V25" s="44">
        <v>0</v>
      </c>
      <c r="W25" s="8"/>
      <c r="X25" s="7"/>
      <c r="Y25" s="44">
        <v>1021.66</v>
      </c>
      <c r="Z25" s="8"/>
      <c r="AA25" s="7"/>
      <c r="AB25" s="44">
        <v>1252.31</v>
      </c>
      <c r="AC25" s="8"/>
      <c r="AD25" s="7"/>
      <c r="AE25" s="5"/>
      <c r="AF25" s="8"/>
      <c r="AG25" s="7"/>
      <c r="AH25" s="5"/>
      <c r="AI25" s="8"/>
      <c r="AJ25" s="7"/>
      <c r="AL25" s="8"/>
      <c r="AN25" s="5"/>
      <c r="AO25" s="8"/>
      <c r="AQ25" s="5"/>
      <c r="AR25" s="8"/>
    </row>
    <row r="26" spans="1:44" ht="13.5" thickBot="1" x14ac:dyDescent="0.25">
      <c r="A26" t="s">
        <v>5</v>
      </c>
      <c r="D26" s="103">
        <v>372.9</v>
      </c>
      <c r="E26" s="8"/>
      <c r="G26" s="85">
        <v>221.11</v>
      </c>
      <c r="H26" s="8"/>
      <c r="J26" s="44">
        <v>-168.00000000000003</v>
      </c>
      <c r="K26" s="8">
        <v>-168.00000000000003</v>
      </c>
      <c r="M26" s="85">
        <v>168.92999999999998</v>
      </c>
      <c r="N26" s="8"/>
      <c r="P26" s="85">
        <f>+'winst en verlies 2019'!D26</f>
        <v>253.60000000000002</v>
      </c>
      <c r="Q26" s="8"/>
      <c r="S26" s="85">
        <f>+'kolommenbalans concept'!N34</f>
        <v>119.92</v>
      </c>
      <c r="T26" s="8"/>
      <c r="U26" s="7"/>
      <c r="V26" s="85">
        <v>173.56</v>
      </c>
      <c r="W26" s="8"/>
      <c r="X26" s="7"/>
      <c r="Y26" s="85">
        <v>334.54</v>
      </c>
      <c r="Z26" s="8"/>
      <c r="AA26" s="7"/>
      <c r="AB26" s="85">
        <v>163.28</v>
      </c>
      <c r="AC26" s="8"/>
      <c r="AD26" s="7"/>
      <c r="AE26" s="6">
        <v>112</v>
      </c>
      <c r="AF26" s="8"/>
      <c r="AG26" s="7"/>
      <c r="AH26" s="6">
        <v>100</v>
      </c>
      <c r="AI26" s="8"/>
      <c r="AJ26" s="7"/>
      <c r="AK26" s="9" t="s">
        <v>351</v>
      </c>
      <c r="AL26" s="8"/>
      <c r="AN26" s="6">
        <v>100</v>
      </c>
      <c r="AO26" s="8"/>
      <c r="AQ26" s="6">
        <v>74.56</v>
      </c>
      <c r="AR26" s="8"/>
    </row>
    <row r="27" spans="1:44" ht="19.5" customHeight="1" x14ac:dyDescent="0.2">
      <c r="A27" s="3" t="s">
        <v>13</v>
      </c>
      <c r="D27" s="32"/>
      <c r="E27" s="8">
        <f>-SUM(D22:D26)</f>
        <v>-4472.8999999999996</v>
      </c>
      <c r="G27" s="86"/>
      <c r="H27" s="8">
        <v>-10721</v>
      </c>
      <c r="J27" s="86"/>
      <c r="K27" s="8"/>
      <c r="M27" s="86"/>
      <c r="N27" s="8">
        <v>26168.93</v>
      </c>
      <c r="P27" s="86"/>
      <c r="Q27" s="8">
        <f>SUM(P21:P26)</f>
        <v>24218.92</v>
      </c>
      <c r="S27" s="86"/>
      <c r="T27" s="8">
        <f>SUM(S21:S26)</f>
        <v>27888.489999999998</v>
      </c>
      <c r="U27" s="7"/>
      <c r="V27" s="86"/>
      <c r="W27" s="8">
        <v>12025.5</v>
      </c>
      <c r="X27" s="7"/>
      <c r="Y27" s="86"/>
      <c r="Z27" s="8">
        <f>SUM(Y21:Y26)</f>
        <v>36127.860000000008</v>
      </c>
      <c r="AA27" s="7"/>
      <c r="AB27" s="86"/>
      <c r="AC27" s="8">
        <v>19663.280000000002</v>
      </c>
      <c r="AD27" s="7"/>
      <c r="AE27" s="7"/>
      <c r="AF27" s="8">
        <f>SUM(AE21:AE26)</f>
        <v>6112</v>
      </c>
      <c r="AG27" s="7"/>
      <c r="AH27" s="7"/>
      <c r="AI27" s="8">
        <f>SUM(AH21:AH26)</f>
        <v>100</v>
      </c>
      <c r="AJ27" s="7"/>
      <c r="AK27" s="7"/>
      <c r="AL27" s="8">
        <f>SUM(AK21:AK26)</f>
        <v>0</v>
      </c>
      <c r="AN27" s="7"/>
      <c r="AO27" s="8">
        <f>+AN26+AN22</f>
        <v>7600</v>
      </c>
      <c r="AQ27" s="7"/>
      <c r="AR27" s="8">
        <v>5128.01</v>
      </c>
    </row>
    <row r="28" spans="1:44" x14ac:dyDescent="0.2">
      <c r="D28" s="32"/>
      <c r="E28" s="8"/>
      <c r="G28" s="44"/>
      <c r="H28" s="8"/>
      <c r="J28" s="44"/>
      <c r="K28" s="8"/>
      <c r="M28" s="44"/>
      <c r="N28" s="8"/>
      <c r="P28" s="44"/>
      <c r="Q28" s="8"/>
      <c r="S28" s="44"/>
      <c r="T28" s="8"/>
      <c r="U28" s="7"/>
      <c r="V28" s="44"/>
      <c r="W28" s="8"/>
      <c r="X28" s="7"/>
      <c r="Y28" s="44"/>
      <c r="Z28" s="8"/>
      <c r="AA28" s="7"/>
      <c r="AB28" s="44"/>
      <c r="AC28" s="8"/>
      <c r="AD28" s="7"/>
      <c r="AE28" s="5"/>
      <c r="AF28" s="8"/>
      <c r="AG28" s="7"/>
      <c r="AH28" s="5"/>
      <c r="AI28" s="8"/>
      <c r="AJ28" s="7"/>
      <c r="AL28" s="8"/>
      <c r="AN28" s="5"/>
      <c r="AO28" s="8"/>
      <c r="AQ28" s="5"/>
      <c r="AR28" s="8"/>
    </row>
    <row r="29" spans="1:44" ht="19.5" customHeight="1" x14ac:dyDescent="0.2">
      <c r="A29" s="1" t="s">
        <v>15</v>
      </c>
      <c r="D29" s="32"/>
      <c r="E29" s="8">
        <f>+E27+E19</f>
        <v>3413.37</v>
      </c>
      <c r="G29" s="86"/>
      <c r="H29" s="8">
        <v>-3000</v>
      </c>
      <c r="J29" s="86"/>
      <c r="K29" s="8">
        <v>7500</v>
      </c>
      <c r="M29" s="86"/>
      <c r="N29" s="8">
        <v>-18500</v>
      </c>
      <c r="P29" s="86"/>
      <c r="Q29" s="8">
        <f>+Q19-Q27</f>
        <v>7000</v>
      </c>
      <c r="S29" s="86"/>
      <c r="T29" s="8">
        <f>+T19-T27</f>
        <v>-7968.3300000000017</v>
      </c>
      <c r="U29" s="7"/>
      <c r="V29" s="86"/>
      <c r="W29" s="8">
        <v>8414.6200000000026</v>
      </c>
      <c r="X29" s="7"/>
      <c r="Y29" s="86"/>
      <c r="Z29" s="8">
        <f>+Z19-Z27</f>
        <v>-17660.840000000007</v>
      </c>
      <c r="AA29" s="7"/>
      <c r="AB29" s="86"/>
      <c r="AC29" s="8">
        <v>2053.8299999999981</v>
      </c>
      <c r="AD29" s="7"/>
      <c r="AE29" s="7"/>
      <c r="AF29" s="8">
        <f>+AF19-AF27</f>
        <v>1571</v>
      </c>
      <c r="AG29" s="7"/>
      <c r="AH29" s="7"/>
      <c r="AI29" s="8">
        <f>+AI19-AI27</f>
        <v>7512</v>
      </c>
      <c r="AJ29" s="7"/>
      <c r="AK29" s="7"/>
      <c r="AL29" s="8">
        <f>+AL19-AL27</f>
        <v>7562</v>
      </c>
      <c r="AN29" s="7"/>
      <c r="AO29" s="8">
        <f>+AO19-AO27</f>
        <v>0</v>
      </c>
      <c r="AQ29" s="7"/>
      <c r="AR29" s="8">
        <v>2458.5500000000002</v>
      </c>
    </row>
    <row r="30" spans="1:44" x14ac:dyDescent="0.2">
      <c r="D30" s="32"/>
      <c r="E30" s="4"/>
      <c r="H30" s="219"/>
      <c r="M30" s="44"/>
      <c r="N30" s="7"/>
      <c r="P30" s="44"/>
      <c r="Q30" s="7"/>
      <c r="S30" s="44"/>
      <c r="T30" s="7"/>
      <c r="U30" s="7"/>
      <c r="V30" s="44"/>
      <c r="W30" s="7"/>
      <c r="X30" s="7"/>
      <c r="Y30" s="44"/>
      <c r="Z30" s="7"/>
      <c r="AA30" s="7"/>
      <c r="AB30" s="44"/>
      <c r="AC30" s="7"/>
      <c r="AD30" s="7"/>
      <c r="AE30" s="5"/>
      <c r="AF30" s="7"/>
      <c r="AG30" s="7"/>
      <c r="AH30" s="5"/>
      <c r="AI30" s="7"/>
      <c r="AJ30" s="7"/>
      <c r="AL30" s="7"/>
      <c r="AN30" s="5"/>
      <c r="AO30" s="7"/>
      <c r="AQ30" s="5"/>
      <c r="AR30" s="7"/>
    </row>
    <row r="31" spans="1:44" x14ac:dyDescent="0.2">
      <c r="A31" s="20" t="s">
        <v>16</v>
      </c>
      <c r="D31" s="32"/>
      <c r="E31" s="4"/>
      <c r="H31" s="219"/>
      <c r="J31" s="32">
        <v>0</v>
      </c>
      <c r="M31" s="44"/>
      <c r="N31" s="7"/>
      <c r="P31" s="44"/>
      <c r="Q31" s="7"/>
      <c r="S31" s="44"/>
      <c r="T31" s="7"/>
      <c r="U31" s="7"/>
      <c r="V31" s="44"/>
      <c r="W31" s="7"/>
      <c r="X31" s="7"/>
      <c r="Y31" s="44"/>
      <c r="Z31" s="7"/>
      <c r="AA31" s="7"/>
      <c r="AB31" s="44"/>
      <c r="AC31" s="7"/>
      <c r="AD31" s="7"/>
      <c r="AE31" s="5"/>
      <c r="AF31" s="7"/>
      <c r="AG31" s="7"/>
      <c r="AH31" s="5"/>
      <c r="AI31" s="7"/>
      <c r="AJ31" s="7"/>
      <c r="AL31" s="7"/>
      <c r="AN31" s="5"/>
      <c r="AO31" s="7"/>
      <c r="AQ31" s="5"/>
      <c r="AR31" s="7"/>
    </row>
    <row r="32" spans="1:44" x14ac:dyDescent="0.2">
      <c r="A32" t="s">
        <v>17</v>
      </c>
      <c r="D32" s="32">
        <v>0</v>
      </c>
      <c r="E32" s="8"/>
      <c r="G32" s="44">
        <v>0</v>
      </c>
      <c r="H32" s="8"/>
      <c r="K32" s="8"/>
      <c r="M32" s="44">
        <v>0</v>
      </c>
      <c r="N32" s="8"/>
      <c r="P32" s="44">
        <v>0</v>
      </c>
      <c r="Q32" s="8"/>
      <c r="S32" s="44">
        <v>0</v>
      </c>
      <c r="T32" s="8"/>
      <c r="U32" s="7"/>
      <c r="V32" s="44">
        <v>0</v>
      </c>
      <c r="W32" s="8"/>
      <c r="X32" s="7"/>
      <c r="Y32" s="44">
        <v>0</v>
      </c>
      <c r="Z32" s="8"/>
      <c r="AA32" s="7"/>
      <c r="AB32" s="44">
        <v>0</v>
      </c>
      <c r="AC32" s="8"/>
      <c r="AD32" s="7"/>
      <c r="AE32" s="5">
        <v>0</v>
      </c>
      <c r="AF32" s="8"/>
      <c r="AG32" s="7"/>
      <c r="AH32" s="5">
        <v>7500</v>
      </c>
      <c r="AI32" s="8"/>
      <c r="AJ32" s="7"/>
      <c r="AK32" s="5">
        <v>7500</v>
      </c>
      <c r="AL32" s="8"/>
      <c r="AN32" s="5">
        <v>0</v>
      </c>
      <c r="AO32" s="8"/>
      <c r="AQ32" s="5">
        <v>2458.5500000000002</v>
      </c>
      <c r="AR32" s="8"/>
    </row>
    <row r="33" spans="1:44" ht="13.5" thickBot="1" x14ac:dyDescent="0.25">
      <c r="A33" t="s">
        <v>28</v>
      </c>
      <c r="D33" s="103">
        <f>+E29</f>
        <v>3413.37</v>
      </c>
      <c r="E33" s="8"/>
      <c r="G33" s="85">
        <f>+H29</f>
        <v>-3000</v>
      </c>
      <c r="H33" s="8"/>
      <c r="J33" s="85">
        <v>-4698.17</v>
      </c>
      <c r="K33" s="8"/>
      <c r="M33" s="85">
        <v>-18500</v>
      </c>
      <c r="N33" s="8"/>
      <c r="P33" s="85">
        <f>+Q29</f>
        <v>7000</v>
      </c>
      <c r="Q33" s="8"/>
      <c r="S33" s="85">
        <f>+T29</f>
        <v>-7968.3300000000017</v>
      </c>
      <c r="T33" s="8"/>
      <c r="U33" s="7"/>
      <c r="V33" s="85">
        <v>8414.6200000000026</v>
      </c>
      <c r="W33" s="8"/>
      <c r="X33" s="7"/>
      <c r="Y33" s="85">
        <v>17660.84</v>
      </c>
      <c r="Z33" s="8"/>
      <c r="AA33" s="7"/>
      <c r="AB33" s="85">
        <v>2053.8299999999981</v>
      </c>
      <c r="AC33" s="8"/>
      <c r="AD33" s="7"/>
      <c r="AE33" s="6">
        <v>1570</v>
      </c>
      <c r="AF33" s="8"/>
      <c r="AG33" s="7"/>
      <c r="AH33" s="6">
        <v>0</v>
      </c>
      <c r="AI33" s="8"/>
      <c r="AJ33" s="7"/>
      <c r="AK33" s="6">
        <v>0</v>
      </c>
      <c r="AL33" s="8"/>
      <c r="AN33" s="6">
        <f>+AO29</f>
        <v>0</v>
      </c>
      <c r="AO33" s="8"/>
      <c r="AQ33" s="9">
        <v>0</v>
      </c>
      <c r="AR33" s="8"/>
    </row>
    <row r="34" spans="1:44" ht="19.5" customHeight="1" x14ac:dyDescent="0.2">
      <c r="A34" s="3"/>
      <c r="D34" s="32"/>
      <c r="E34" s="8">
        <f>+D33</f>
        <v>3413.37</v>
      </c>
      <c r="G34" s="86"/>
      <c r="H34" s="8">
        <v>-3000</v>
      </c>
      <c r="J34" s="86"/>
      <c r="K34" s="8">
        <v>-4698.17</v>
      </c>
      <c r="M34" s="86"/>
      <c r="N34" s="8">
        <v>-18500</v>
      </c>
      <c r="P34" s="86"/>
      <c r="Q34" s="8">
        <f>+P32+P33</f>
        <v>7000</v>
      </c>
      <c r="S34" s="86"/>
      <c r="T34" s="8">
        <f>+S32+S33</f>
        <v>-7968.3300000000017</v>
      </c>
      <c r="U34" s="7"/>
      <c r="V34" s="86"/>
      <c r="W34" s="8">
        <v>8414.6200000000026</v>
      </c>
      <c r="X34" s="7"/>
      <c r="Y34" s="86"/>
      <c r="Z34" s="8">
        <f>+Y32+Y33</f>
        <v>17660.84</v>
      </c>
      <c r="AA34" s="7"/>
      <c r="AB34" s="86"/>
      <c r="AC34" s="8">
        <v>2053.8299999999981</v>
      </c>
      <c r="AD34" s="7"/>
      <c r="AE34" s="7"/>
      <c r="AF34" s="8">
        <f>+AE32+AE33</f>
        <v>1570</v>
      </c>
      <c r="AG34" s="7"/>
      <c r="AH34" s="7"/>
      <c r="AI34" s="8">
        <f>+AH32+AH33</f>
        <v>7500</v>
      </c>
      <c r="AJ34" s="7"/>
      <c r="AK34" s="7"/>
      <c r="AL34" s="8">
        <f>+AK32+AK33</f>
        <v>7500</v>
      </c>
      <c r="AN34" s="7"/>
      <c r="AO34" s="8">
        <f>+AN33+AN32</f>
        <v>0</v>
      </c>
      <c r="AQ34" s="7"/>
      <c r="AR34" s="8">
        <v>2458.5500000000002</v>
      </c>
    </row>
    <row r="35" spans="1:44" ht="19.5" customHeight="1" x14ac:dyDescent="0.2">
      <c r="A35" s="3"/>
      <c r="C35" s="47"/>
      <c r="D35" s="47"/>
      <c r="E35" s="8"/>
      <c r="F35" s="47"/>
      <c r="G35" s="86"/>
      <c r="H35" s="8"/>
      <c r="I35" s="47"/>
      <c r="J35" s="86"/>
      <c r="K35" s="8"/>
      <c r="L35" s="47"/>
      <c r="M35" s="86"/>
      <c r="N35" s="8"/>
      <c r="O35" s="47"/>
      <c r="P35" s="86"/>
      <c r="Q35" s="8"/>
      <c r="S35" s="86"/>
      <c r="T35" s="8"/>
      <c r="U35" s="7"/>
      <c r="V35" s="86"/>
      <c r="W35" s="8"/>
      <c r="X35" s="7"/>
      <c r="Y35" s="86"/>
      <c r="Z35" s="8"/>
      <c r="AA35" s="7"/>
      <c r="AB35" s="86"/>
      <c r="AC35" s="8"/>
      <c r="AD35" s="7"/>
      <c r="AE35" s="7"/>
      <c r="AF35" s="8"/>
      <c r="AG35" s="7"/>
      <c r="AH35" s="7"/>
      <c r="AI35" s="8"/>
      <c r="AJ35" s="7"/>
      <c r="AK35" s="7"/>
      <c r="AL35" s="8"/>
      <c r="AN35" s="7"/>
      <c r="AO35" s="8"/>
      <c r="AQ35" s="7"/>
      <c r="AR35" s="8"/>
    </row>
    <row r="36" spans="1:44" ht="19.5" customHeight="1" x14ac:dyDescent="0.2">
      <c r="A36" s="3"/>
      <c r="C36" s="112"/>
      <c r="D36" s="112"/>
      <c r="E36" s="112"/>
      <c r="F36" s="112"/>
      <c r="I36" s="112"/>
      <c r="L36" s="112"/>
      <c r="O36" s="112"/>
      <c r="Q36" s="47"/>
      <c r="U36" s="7"/>
      <c r="X36" s="7"/>
      <c r="AA36" s="7"/>
      <c r="AD36" s="7"/>
      <c r="AG36" s="7"/>
      <c r="AJ36" s="7"/>
      <c r="AK36" s="7"/>
      <c r="AL36" s="7"/>
    </row>
    <row r="37" spans="1:44" x14ac:dyDescent="0.2">
      <c r="A37" s="20" t="s">
        <v>43</v>
      </c>
      <c r="AH37" s="114"/>
    </row>
    <row r="38" spans="1:44" x14ac:dyDescent="0.2">
      <c r="A38" t="s">
        <v>47</v>
      </c>
      <c r="P38" s="95"/>
      <c r="S38" s="95"/>
      <c r="V38" s="95"/>
      <c r="Y38" s="95"/>
      <c r="AB38" s="96"/>
      <c r="AF38" s="113"/>
    </row>
    <row r="39" spans="1:44" x14ac:dyDescent="0.2">
      <c r="A39" s="76"/>
      <c r="B39" s="147" t="s">
        <v>766</v>
      </c>
      <c r="C39" s="76"/>
      <c r="D39" s="76"/>
      <c r="E39" s="76"/>
      <c r="F39" s="76"/>
      <c r="G39" s="87"/>
      <c r="H39" s="88"/>
      <c r="I39" s="76"/>
      <c r="J39" s="87"/>
      <c r="K39" s="88"/>
      <c r="L39" s="76"/>
      <c r="M39" s="87"/>
      <c r="N39" s="88"/>
      <c r="O39" s="76"/>
      <c r="P39" s="87"/>
      <c r="Q39" s="76"/>
      <c r="R39" s="76"/>
      <c r="S39" s="87"/>
      <c r="T39" s="76"/>
      <c r="U39" s="76"/>
      <c r="V39" s="87"/>
      <c r="W39" s="76"/>
      <c r="X39" s="76"/>
      <c r="Y39" s="87"/>
      <c r="Z39" s="76"/>
      <c r="AA39" s="76"/>
      <c r="AB39" s="88"/>
      <c r="AC39" s="76"/>
      <c r="AD39" s="76"/>
      <c r="AE39" s="76"/>
      <c r="AF39" s="113"/>
      <c r="AI39" s="76"/>
      <c r="AJ39" s="76"/>
    </row>
    <row r="40" spans="1:44" x14ac:dyDescent="0.2">
      <c r="A40" s="76"/>
      <c r="C40" s="76"/>
      <c r="D40" s="76"/>
      <c r="E40" s="76"/>
      <c r="F40" s="76"/>
      <c r="G40" s="87"/>
      <c r="H40" s="88"/>
      <c r="I40" s="76"/>
      <c r="J40" s="87"/>
      <c r="K40" s="88"/>
      <c r="L40" s="76"/>
      <c r="M40" s="87"/>
      <c r="N40" s="88"/>
      <c r="O40" s="76"/>
      <c r="P40" s="87"/>
      <c r="Q40" s="76"/>
      <c r="R40" s="76"/>
      <c r="S40" s="87"/>
      <c r="T40" s="76"/>
      <c r="U40" s="76"/>
      <c r="V40" s="87"/>
      <c r="W40" s="76"/>
      <c r="X40" s="76"/>
      <c r="Y40" s="87"/>
      <c r="Z40" s="76"/>
      <c r="AA40" s="76"/>
      <c r="AB40" s="88"/>
      <c r="AC40" s="76"/>
      <c r="AD40" s="76"/>
      <c r="AE40" s="76"/>
      <c r="AF40" s="113"/>
      <c r="AI40" s="76"/>
      <c r="AJ40" s="76"/>
    </row>
    <row r="41" spans="1:44" x14ac:dyDescent="0.2">
      <c r="A41" s="70" t="s">
        <v>414</v>
      </c>
      <c r="B41" s="76"/>
      <c r="C41" s="76"/>
      <c r="D41" s="76"/>
      <c r="E41" s="76"/>
      <c r="F41" s="76"/>
      <c r="G41" s="87"/>
      <c r="H41" s="88"/>
      <c r="I41" s="76"/>
      <c r="J41" s="87"/>
      <c r="K41" s="88"/>
      <c r="L41" s="76"/>
      <c r="M41" s="87"/>
      <c r="N41" s="88"/>
      <c r="O41" s="76"/>
      <c r="P41" s="87"/>
      <c r="Q41" s="76"/>
      <c r="R41" s="76"/>
      <c r="S41" s="87"/>
      <c r="T41" s="76"/>
      <c r="U41" s="76"/>
      <c r="V41" s="87"/>
      <c r="W41" s="76"/>
      <c r="X41" s="76"/>
      <c r="Y41" s="87"/>
      <c r="Z41" s="76"/>
      <c r="AA41" s="76"/>
      <c r="AB41" s="88"/>
      <c r="AC41" s="76"/>
      <c r="AD41" s="76"/>
      <c r="AE41" s="76"/>
      <c r="AF41" s="113"/>
      <c r="AI41" s="76"/>
      <c r="AJ41" s="76"/>
    </row>
    <row r="42" spans="1:44" x14ac:dyDescent="0.2">
      <c r="B42" s="70" t="s">
        <v>107</v>
      </c>
      <c r="C42" s="76"/>
      <c r="D42" s="76"/>
      <c r="E42" s="76"/>
      <c r="F42" s="76"/>
      <c r="G42" s="87"/>
      <c r="H42" s="88"/>
      <c r="I42" s="76"/>
      <c r="J42" s="87"/>
      <c r="K42" s="88"/>
      <c r="L42" s="76"/>
      <c r="M42" s="87"/>
      <c r="N42" s="72"/>
      <c r="O42" s="76"/>
      <c r="P42" s="87"/>
      <c r="Q42" s="76"/>
      <c r="R42" s="76"/>
      <c r="S42" s="87"/>
      <c r="T42" s="76"/>
      <c r="U42" s="76"/>
      <c r="V42" s="87"/>
      <c r="W42" s="76"/>
      <c r="X42" s="76"/>
      <c r="Y42" s="87"/>
      <c r="Z42" s="76"/>
      <c r="AA42" s="76"/>
      <c r="AB42" s="88"/>
      <c r="AC42" s="76"/>
      <c r="AD42" s="76"/>
      <c r="AE42" s="76"/>
      <c r="AF42" s="76"/>
      <c r="AG42" s="76"/>
      <c r="AH42" s="114"/>
      <c r="AI42" s="76"/>
      <c r="AJ42" s="76"/>
    </row>
    <row r="43" spans="1:44" x14ac:dyDescent="0.2">
      <c r="A43" s="76"/>
      <c r="B43" s="101" t="s">
        <v>767</v>
      </c>
      <c r="C43" s="76"/>
      <c r="D43" s="76"/>
      <c r="E43" s="151">
        <f>+'kolommenbalans 2023'!K38</f>
        <v>372.89999999999986</v>
      </c>
      <c r="F43" s="76"/>
      <c r="G43" s="87"/>
      <c r="I43" s="76"/>
      <c r="K43" s="88"/>
      <c r="L43" s="76"/>
      <c r="M43" s="87"/>
      <c r="O43" s="76"/>
      <c r="P43" s="72">
        <f>-'kolommenbalans 2018'!K38</f>
        <v>0</v>
      </c>
      <c r="R43" s="76"/>
      <c r="T43" s="76"/>
      <c r="U43" s="76"/>
      <c r="W43" s="76"/>
      <c r="X43" s="76"/>
      <c r="Y43" s="87"/>
      <c r="Z43" s="76"/>
      <c r="AA43" s="76"/>
      <c r="AB43" s="88"/>
      <c r="AC43" s="76"/>
      <c r="AD43" s="76"/>
      <c r="AE43" s="76"/>
      <c r="AF43" s="76"/>
      <c r="AG43" s="76"/>
      <c r="AH43" s="76"/>
      <c r="AI43" s="76"/>
      <c r="AJ43" s="76"/>
    </row>
    <row r="44" spans="1:44" x14ac:dyDescent="0.2">
      <c r="A44" s="76"/>
      <c r="B44" s="70"/>
      <c r="C44" s="76"/>
      <c r="D44" s="76"/>
      <c r="E44" s="76"/>
      <c r="F44" s="76"/>
      <c r="G44" s="87"/>
      <c r="H44" s="88"/>
      <c r="I44" s="76"/>
      <c r="J44" s="87"/>
      <c r="K44" s="88"/>
      <c r="L44" s="76"/>
      <c r="M44" s="87"/>
      <c r="N44" s="88"/>
      <c r="O44" s="76"/>
      <c r="P44" s="72"/>
      <c r="Q44" s="79"/>
      <c r="R44" s="76"/>
      <c r="S44" s="72"/>
      <c r="T44" s="76"/>
      <c r="U44" s="76"/>
      <c r="W44" s="76"/>
      <c r="X44" s="76"/>
      <c r="Y44" s="87"/>
      <c r="Z44" s="76"/>
      <c r="AA44" s="76"/>
      <c r="AB44" s="88"/>
      <c r="AC44" s="76"/>
      <c r="AD44" s="76"/>
      <c r="AE44" s="76"/>
      <c r="AF44" s="76"/>
      <c r="AG44" s="76"/>
      <c r="AH44" s="76"/>
      <c r="AI44" s="76"/>
      <c r="AJ44" s="76"/>
    </row>
    <row r="45" spans="1:44" x14ac:dyDescent="0.2">
      <c r="A45" s="70" t="s">
        <v>46</v>
      </c>
      <c r="B45" s="76"/>
      <c r="C45" s="76"/>
      <c r="D45" s="76"/>
      <c r="E45" s="76"/>
      <c r="F45" s="76"/>
      <c r="G45" s="87"/>
      <c r="H45" s="88"/>
      <c r="I45" s="76"/>
      <c r="J45" s="87"/>
      <c r="K45" s="88"/>
      <c r="L45" s="76"/>
      <c r="M45" s="87"/>
      <c r="N45" s="88"/>
      <c r="O45" s="76"/>
      <c r="P45" s="87"/>
      <c r="Q45" s="76"/>
      <c r="R45" s="76"/>
      <c r="S45" s="87"/>
      <c r="T45" s="76"/>
      <c r="U45" s="76"/>
      <c r="V45" s="87"/>
      <c r="W45" s="76"/>
      <c r="X45" s="76"/>
      <c r="Y45" s="87"/>
      <c r="Z45" s="76"/>
      <c r="AA45" s="76"/>
      <c r="AB45" s="88"/>
      <c r="AC45" s="76"/>
      <c r="AD45" s="76"/>
      <c r="AE45" s="76"/>
      <c r="AF45" s="76"/>
      <c r="AG45" s="76"/>
      <c r="AH45" s="76"/>
      <c r="AI45" s="76"/>
      <c r="AJ45" s="76"/>
    </row>
    <row r="46" spans="1:44" ht="26.25" customHeight="1" x14ac:dyDescent="0.2">
      <c r="B46" s="237" t="s">
        <v>768</v>
      </c>
      <c r="C46" s="238"/>
      <c r="D46" s="238"/>
      <c r="E46" s="238"/>
      <c r="F46" s="238"/>
      <c r="G46" s="238"/>
      <c r="H46" s="238"/>
      <c r="I46" s="238"/>
      <c r="J46" s="238"/>
      <c r="K46" s="238"/>
      <c r="L46" s="238"/>
      <c r="M46" s="238"/>
      <c r="N46" s="238"/>
      <c r="O46" s="238"/>
      <c r="P46" s="238"/>
      <c r="Q46" s="238"/>
      <c r="R46" s="98"/>
      <c r="S46" s="98"/>
      <c r="T46" s="98"/>
      <c r="U46" s="98"/>
      <c r="V46" s="98"/>
      <c r="W46" s="98"/>
      <c r="X46" s="76"/>
      <c r="Y46" s="87"/>
      <c r="Z46" s="76"/>
      <c r="AA46" s="76"/>
      <c r="AB46" s="88"/>
      <c r="AC46" s="76"/>
      <c r="AD46" s="76"/>
      <c r="AE46" s="76"/>
      <c r="AF46" s="76"/>
      <c r="AG46" s="76"/>
      <c r="AH46" s="76"/>
      <c r="AI46" s="76"/>
      <c r="AJ46" s="76"/>
      <c r="AN46" s="5"/>
      <c r="AO46" s="44"/>
      <c r="AQ46" s="5"/>
      <c r="AR46" s="44"/>
    </row>
    <row r="48" spans="1:44" x14ac:dyDescent="0.2">
      <c r="A48" s="147" t="s">
        <v>746</v>
      </c>
    </row>
    <row r="49" spans="1:17" x14ac:dyDescent="0.2">
      <c r="A49" s="147"/>
      <c r="C49" s="148" t="s">
        <v>769</v>
      </c>
      <c r="D49" s="29"/>
      <c r="E49" s="4">
        <f>'kolommenbalans 2023'!E5</f>
        <v>638</v>
      </c>
      <c r="F49" s="29"/>
    </row>
    <row r="50" spans="1:17" x14ac:dyDescent="0.2">
      <c r="C50" s="148" t="s">
        <v>770</v>
      </c>
      <c r="D50" s="148"/>
      <c r="E50" s="164">
        <v>3400</v>
      </c>
      <c r="F50" s="148"/>
      <c r="G50" s="162"/>
      <c r="I50" s="148"/>
      <c r="K50" s="206"/>
      <c r="L50" s="148"/>
    </row>
    <row r="51" spans="1:17" x14ac:dyDescent="0.2">
      <c r="C51" s="148" t="s">
        <v>771</v>
      </c>
      <c r="D51" s="148"/>
      <c r="E51" s="4">
        <f>+E50+E49</f>
        <v>4038</v>
      </c>
      <c r="F51" s="148"/>
      <c r="G51" s="146"/>
      <c r="I51" s="148"/>
      <c r="K51" s="208"/>
      <c r="L51" s="147"/>
      <c r="Q51" s="47"/>
    </row>
    <row r="52" spans="1:17" x14ac:dyDescent="0.2">
      <c r="E52" s="4"/>
    </row>
    <row r="53" spans="1:17" x14ac:dyDescent="0.2">
      <c r="A53" s="147" t="s">
        <v>772</v>
      </c>
      <c r="E53" s="4"/>
    </row>
    <row r="54" spans="1:17" x14ac:dyDescent="0.2">
      <c r="C54" s="148" t="s">
        <v>750</v>
      </c>
      <c r="D54" s="148"/>
      <c r="E54" s="4"/>
      <c r="F54" s="148"/>
    </row>
    <row r="55" spans="1:17" x14ac:dyDescent="0.2">
      <c r="C55" s="148" t="s">
        <v>751</v>
      </c>
      <c r="D55" s="148"/>
      <c r="E55" s="4">
        <v>3600</v>
      </c>
      <c r="F55" s="148"/>
    </row>
    <row r="56" spans="1:17" x14ac:dyDescent="0.2">
      <c r="E56" s="4"/>
    </row>
  </sheetData>
  <mergeCells count="29">
    <mergeCell ref="B46:Q46"/>
    <mergeCell ref="AQ4:AR4"/>
    <mergeCell ref="AQ3:AR3"/>
    <mergeCell ref="G4:H4"/>
    <mergeCell ref="J4:K4"/>
    <mergeCell ref="M4:N4"/>
    <mergeCell ref="P4:Q4"/>
    <mergeCell ref="S4:T4"/>
    <mergeCell ref="V4:W4"/>
    <mergeCell ref="Y4:Z4"/>
    <mergeCell ref="AB4:AC4"/>
    <mergeCell ref="AE4:AF4"/>
    <mergeCell ref="Y3:Z3"/>
    <mergeCell ref="AB3:AC3"/>
    <mergeCell ref="AE3:AF3"/>
    <mergeCell ref="AH3:AI3"/>
    <mergeCell ref="D3:E3"/>
    <mergeCell ref="D4:E4"/>
    <mergeCell ref="AH4:AI4"/>
    <mergeCell ref="AK4:AL4"/>
    <mergeCell ref="AN4:AO4"/>
    <mergeCell ref="AK3:AL3"/>
    <mergeCell ref="AN3:AO3"/>
    <mergeCell ref="G3:H3"/>
    <mergeCell ref="J3:K3"/>
    <mergeCell ref="M3:N3"/>
    <mergeCell ref="P3:Q3"/>
    <mergeCell ref="S3:T3"/>
    <mergeCell ref="V3:W3"/>
  </mergeCells>
  <pageMargins left="0.74803149606299213" right="0.74803149606299213" top="0.98425196850393704" bottom="0.78740157480314965" header="0.51181102362204722" footer="0.51181102362204722"/>
  <pageSetup paperSize="9" scale="59" orientation="portrait" r:id="rId1"/>
  <headerFooter alignWithMargins="0">
    <oddFooter>&amp;L&amp;F, &amp;A&amp;R&amp;D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D38A-B70C-40FC-A18A-110C5B6CB9F2}">
  <sheetPr>
    <pageSetUpPr fitToPage="1"/>
  </sheetPr>
  <dimension ref="A1:CC62"/>
  <sheetViews>
    <sheetView topLeftCell="A26" zoomScale="106" workbookViewId="0">
      <selection activeCell="C53" sqref="C53"/>
    </sheetView>
  </sheetViews>
  <sheetFormatPr defaultColWidth="8.85546875" defaultRowHeight="12.75" x14ac:dyDescent="0.2"/>
  <cols>
    <col min="1" max="1" width="39.28515625" customWidth="1"/>
    <col min="2" max="2" width="10.28515625" bestFit="1" customWidth="1"/>
    <col min="3" max="5" width="9.85546875" bestFit="1" customWidth="1"/>
    <col min="6" max="6" width="12.5703125" style="32" customWidth="1"/>
    <col min="7" max="7" width="4.5703125" style="84" customWidth="1"/>
    <col min="8" max="8" width="9.85546875" bestFit="1" customWidth="1"/>
    <col min="9" max="9" width="7.140625" bestFit="1" customWidth="1"/>
    <col min="10" max="10" width="1.140625" style="84" customWidth="1"/>
    <col min="11" max="12" width="9.85546875" style="32" bestFit="1" customWidth="1"/>
    <col min="13" max="13" width="9.85546875" bestFit="1" customWidth="1"/>
    <col min="14" max="14" width="14.28515625" bestFit="1" customWidth="1"/>
    <col min="15" max="15" width="23.140625" style="99" bestFit="1" customWidth="1"/>
    <col min="16" max="16" width="1.140625" style="99" customWidth="1"/>
    <col min="17" max="17" width="11.140625" bestFit="1" customWidth="1"/>
  </cols>
  <sheetData>
    <row r="1" spans="1:17" ht="15.75" x14ac:dyDescent="0.25">
      <c r="A1" s="42" t="s">
        <v>774</v>
      </c>
      <c r="B1" s="157"/>
    </row>
    <row r="2" spans="1:17" ht="12" customHeight="1" x14ac:dyDescent="0.2"/>
    <row r="3" spans="1:17" s="12" customFormat="1" ht="132.75" customHeight="1" x14ac:dyDescent="0.2">
      <c r="B3" s="69" t="s">
        <v>291</v>
      </c>
      <c r="C3" s="69" t="s">
        <v>292</v>
      </c>
      <c r="D3" s="90" t="s">
        <v>372</v>
      </c>
      <c r="E3" s="90" t="s">
        <v>633</v>
      </c>
      <c r="F3" s="118" t="s">
        <v>202</v>
      </c>
      <c r="G3" s="102"/>
      <c r="H3" s="69" t="s">
        <v>392</v>
      </c>
      <c r="I3" s="69" t="s">
        <v>302</v>
      </c>
      <c r="J3" s="102"/>
      <c r="K3" s="118" t="s">
        <v>190</v>
      </c>
      <c r="L3" s="118" t="s">
        <v>324</v>
      </c>
      <c r="M3" s="90" t="s">
        <v>447</v>
      </c>
      <c r="O3" s="152"/>
      <c r="P3" s="152"/>
      <c r="Q3" s="222"/>
    </row>
    <row r="5" spans="1:17" s="20" customFormat="1" x14ac:dyDescent="0.2">
      <c r="A5" s="20" t="s">
        <v>191</v>
      </c>
      <c r="B5" s="39">
        <f>+'kolommenbalans 2022'!B54</f>
        <v>8467.7099999999973</v>
      </c>
      <c r="C5" s="39">
        <f>+'kolommenbalans 2021'!C43</f>
        <v>1675.0099999999948</v>
      </c>
      <c r="D5" s="39">
        <f>+'kolommenbalans 2022'!D54</f>
        <v>-204.36999999999992</v>
      </c>
      <c r="E5" s="39">
        <f>+'kolommenbalans 2022'!E50</f>
        <v>638</v>
      </c>
      <c r="F5" s="39">
        <v>-9300</v>
      </c>
      <c r="G5" s="83"/>
      <c r="H5" s="39"/>
      <c r="I5" s="39"/>
      <c r="J5" s="83"/>
      <c r="K5" s="39">
        <f>+'kolommenbalans 2014'!K29</f>
        <v>0</v>
      </c>
      <c r="L5" s="39"/>
      <c r="M5" s="39"/>
      <c r="N5" s="39"/>
      <c r="O5" s="153">
        <f>SUM(I5:K5)</f>
        <v>0</v>
      </c>
      <c r="P5" s="154"/>
    </row>
    <row r="6" spans="1:17" s="147" customFormat="1" x14ac:dyDescent="0.2">
      <c r="A6" s="158">
        <v>45292</v>
      </c>
      <c r="B6" s="146">
        <v>-100</v>
      </c>
      <c r="C6" s="146">
        <v>0.28000000000000003</v>
      </c>
      <c r="D6" s="146"/>
      <c r="E6" s="146"/>
      <c r="F6" s="146">
        <f>-B6</f>
        <v>100</v>
      </c>
      <c r="G6" s="159"/>
      <c r="H6" s="146"/>
      <c r="I6" s="146">
        <f>--C6</f>
        <v>0.28000000000000003</v>
      </c>
      <c r="J6" s="159"/>
      <c r="K6" s="146"/>
      <c r="L6" s="146"/>
      <c r="M6" s="146"/>
      <c r="N6" s="39"/>
      <c r="O6" s="155" t="s">
        <v>757</v>
      </c>
      <c r="P6" s="99"/>
    </row>
    <row r="7" spans="1:17" s="20" customFormat="1" x14ac:dyDescent="0.2">
      <c r="A7" s="158">
        <v>45295</v>
      </c>
      <c r="B7" s="146">
        <v>-1500</v>
      </c>
      <c r="C7" s="39"/>
      <c r="D7" s="39"/>
      <c r="E7" s="39"/>
      <c r="F7" s="146">
        <f>-B7</f>
        <v>1500</v>
      </c>
      <c r="G7" s="83"/>
      <c r="H7" s="39"/>
      <c r="I7" s="39"/>
      <c r="J7" s="83"/>
      <c r="K7" s="39"/>
      <c r="L7" s="39"/>
      <c r="M7" s="39"/>
      <c r="N7" s="39">
        <f t="shared" ref="N7:N36" si="0">SUM(B7:F7)-SUM(H7:I7)+SUM(K7:M7)</f>
        <v>0</v>
      </c>
      <c r="O7" s="153" t="s">
        <v>758</v>
      </c>
      <c r="P7" s="154"/>
    </row>
    <row r="8" spans="1:17" s="20" customFormat="1" x14ac:dyDescent="0.2">
      <c r="A8" s="158">
        <v>45296</v>
      </c>
      <c r="B8" s="146">
        <v>-62</v>
      </c>
      <c r="C8" s="39"/>
      <c r="D8" s="39"/>
      <c r="E8" s="39"/>
      <c r="F8" s="39"/>
      <c r="G8" s="83"/>
      <c r="H8" s="39"/>
      <c r="I8" s="39"/>
      <c r="J8" s="83"/>
      <c r="K8" s="146">
        <f>-B8</f>
        <v>62</v>
      </c>
      <c r="L8" s="39"/>
      <c r="M8" s="39"/>
      <c r="N8" s="39">
        <f t="shared" si="0"/>
        <v>0</v>
      </c>
      <c r="O8" s="153" t="s">
        <v>589</v>
      </c>
      <c r="P8" s="154"/>
    </row>
    <row r="9" spans="1:17" s="20" customFormat="1" x14ac:dyDescent="0.2">
      <c r="A9" s="158">
        <v>45296</v>
      </c>
      <c r="B9" s="146">
        <v>-3000</v>
      </c>
      <c r="C9" s="39"/>
      <c r="D9" s="39"/>
      <c r="E9" s="39"/>
      <c r="F9" s="146">
        <f>-B9</f>
        <v>3000</v>
      </c>
      <c r="G9" s="83"/>
      <c r="H9" s="39"/>
      <c r="I9" s="39"/>
      <c r="J9" s="83"/>
      <c r="K9" s="39"/>
      <c r="L9" s="39"/>
      <c r="M9" s="39"/>
      <c r="N9" s="39">
        <f t="shared" si="0"/>
        <v>0</v>
      </c>
      <c r="O9" s="153" t="s">
        <v>759</v>
      </c>
      <c r="P9" s="154"/>
    </row>
    <row r="10" spans="1:17" x14ac:dyDescent="0.2">
      <c r="A10" s="158">
        <v>44587</v>
      </c>
      <c r="B10" s="146">
        <v>-19.25</v>
      </c>
      <c r="C10" s="32"/>
      <c r="D10" s="32"/>
      <c r="E10" s="32"/>
      <c r="G10" s="132"/>
      <c r="H10" s="32"/>
      <c r="I10" s="32"/>
      <c r="J10" s="132"/>
      <c r="K10" s="32">
        <f>-B10</f>
        <v>19.25</v>
      </c>
      <c r="M10" s="32"/>
      <c r="N10" s="39">
        <f t="shared" si="0"/>
        <v>0</v>
      </c>
      <c r="O10" s="155" t="s">
        <v>644</v>
      </c>
    </row>
    <row r="11" spans="1:17" x14ac:dyDescent="0.2">
      <c r="A11" s="158">
        <v>44593</v>
      </c>
      <c r="B11" s="146">
        <v>-100</v>
      </c>
      <c r="C11" s="32">
        <v>0.28000000000000003</v>
      </c>
      <c r="E11" s="32"/>
      <c r="F11" s="32">
        <v>100</v>
      </c>
      <c r="G11" s="132"/>
      <c r="H11" s="32"/>
      <c r="I11" s="146">
        <f>--C11</f>
        <v>0.28000000000000003</v>
      </c>
      <c r="N11" s="39">
        <f t="shared" si="0"/>
        <v>1.1102230246251565E-15</v>
      </c>
      <c r="O11" s="155" t="s">
        <v>757</v>
      </c>
    </row>
    <row r="12" spans="1:17" x14ac:dyDescent="0.2">
      <c r="A12" s="158">
        <v>44597</v>
      </c>
      <c r="B12" s="146">
        <v>-69.7</v>
      </c>
      <c r="C12" s="32"/>
      <c r="E12" s="32"/>
      <c r="G12" s="132"/>
      <c r="H12" s="32"/>
      <c r="K12" s="32">
        <f>-B12</f>
        <v>69.7</v>
      </c>
      <c r="N12" s="39">
        <f t="shared" si="0"/>
        <v>0</v>
      </c>
      <c r="O12" s="155" t="s">
        <v>642</v>
      </c>
    </row>
    <row r="13" spans="1:17" x14ac:dyDescent="0.2">
      <c r="A13" s="158">
        <v>44618</v>
      </c>
      <c r="B13" s="146">
        <v>-19.43</v>
      </c>
      <c r="C13" s="32"/>
      <c r="E13" s="32"/>
      <c r="G13" s="132"/>
      <c r="H13" s="32"/>
      <c r="K13" s="32">
        <f>-B13</f>
        <v>19.43</v>
      </c>
      <c r="N13" s="39">
        <f t="shared" si="0"/>
        <v>0</v>
      </c>
      <c r="O13" s="155" t="s">
        <v>644</v>
      </c>
    </row>
    <row r="14" spans="1:17" x14ac:dyDescent="0.2">
      <c r="A14" s="158">
        <v>44621</v>
      </c>
      <c r="B14" s="146">
        <v>-100</v>
      </c>
      <c r="C14" s="32">
        <v>0.28000000000000003</v>
      </c>
      <c r="D14" s="32"/>
      <c r="E14" s="32"/>
      <c r="F14" s="32">
        <f>-B14</f>
        <v>100</v>
      </c>
      <c r="G14" s="132"/>
      <c r="H14" s="32"/>
      <c r="I14" s="146">
        <f>--C14</f>
        <v>0.28000000000000003</v>
      </c>
      <c r="J14" s="132"/>
      <c r="M14" s="32"/>
      <c r="N14" s="39">
        <f t="shared" si="0"/>
        <v>1.1102230246251565E-15</v>
      </c>
      <c r="O14" s="155" t="s">
        <v>757</v>
      </c>
    </row>
    <row r="15" spans="1:17" x14ac:dyDescent="0.2">
      <c r="A15" s="158">
        <v>44646</v>
      </c>
      <c r="B15" s="146">
        <v>-19.25</v>
      </c>
      <c r="C15" s="32"/>
      <c r="E15" s="32"/>
      <c r="G15" s="132"/>
      <c r="H15" s="32"/>
      <c r="K15" s="32">
        <f>-B15</f>
        <v>19.25</v>
      </c>
      <c r="N15" s="39">
        <f t="shared" si="0"/>
        <v>0</v>
      </c>
      <c r="O15" s="155" t="s">
        <v>644</v>
      </c>
    </row>
    <row r="16" spans="1:17" x14ac:dyDescent="0.2">
      <c r="A16" s="158">
        <v>44652</v>
      </c>
      <c r="B16" s="146">
        <v>-100</v>
      </c>
      <c r="C16" s="32">
        <v>0.64</v>
      </c>
      <c r="E16" s="32"/>
      <c r="F16" s="32">
        <f>-B16</f>
        <v>100</v>
      </c>
      <c r="G16" s="132"/>
      <c r="H16" s="32"/>
      <c r="I16" s="146">
        <f>--C16</f>
        <v>0.64</v>
      </c>
      <c r="M16" s="32"/>
      <c r="N16" s="39">
        <f t="shared" si="0"/>
        <v>5.5511151231257827E-16</v>
      </c>
      <c r="O16" s="155" t="s">
        <v>757</v>
      </c>
    </row>
    <row r="17" spans="1:16" x14ac:dyDescent="0.2">
      <c r="A17" s="158">
        <v>43947</v>
      </c>
      <c r="B17" s="146">
        <v>-19.03</v>
      </c>
      <c r="C17" s="32"/>
      <c r="E17" s="32"/>
      <c r="G17" s="132"/>
      <c r="H17" s="32"/>
      <c r="K17" s="32">
        <f>-B17</f>
        <v>19.03</v>
      </c>
      <c r="N17" s="39">
        <f t="shared" si="0"/>
        <v>0</v>
      </c>
      <c r="O17" s="155" t="s">
        <v>644</v>
      </c>
    </row>
    <row r="18" spans="1:16" x14ac:dyDescent="0.2">
      <c r="A18" s="158">
        <v>43952</v>
      </c>
      <c r="B18" s="146">
        <v>-100</v>
      </c>
      <c r="C18" s="32">
        <v>0.62</v>
      </c>
      <c r="E18" s="32"/>
      <c r="F18" s="32">
        <f>-B18</f>
        <v>100</v>
      </c>
      <c r="G18" s="132"/>
      <c r="H18" s="32"/>
      <c r="I18" s="146">
        <f>--C18</f>
        <v>0.62</v>
      </c>
      <c r="N18" s="39">
        <f t="shared" si="0"/>
        <v>4.5519144009631418E-15</v>
      </c>
      <c r="O18" s="155" t="s">
        <v>757</v>
      </c>
    </row>
    <row r="19" spans="1:16" x14ac:dyDescent="0.2">
      <c r="A19" s="158">
        <v>43977</v>
      </c>
      <c r="B19" s="146">
        <v>-19.03</v>
      </c>
      <c r="C19" s="32"/>
      <c r="E19" s="32"/>
      <c r="G19" s="132"/>
      <c r="H19" s="32"/>
      <c r="K19" s="32">
        <f>-B19</f>
        <v>19.03</v>
      </c>
      <c r="N19" s="39">
        <f t="shared" si="0"/>
        <v>0</v>
      </c>
      <c r="O19" s="155" t="s">
        <v>644</v>
      </c>
    </row>
    <row r="20" spans="1:16" s="99" customFormat="1" x14ac:dyDescent="0.2">
      <c r="A20" s="158">
        <v>43983</v>
      </c>
      <c r="B20" s="146">
        <v>-100</v>
      </c>
      <c r="C20" s="32">
        <v>1.07</v>
      </c>
      <c r="D20"/>
      <c r="E20" s="32"/>
      <c r="F20" s="32">
        <f>-B20</f>
        <v>100</v>
      </c>
      <c r="G20" s="132"/>
      <c r="H20" s="32"/>
      <c r="I20" s="146">
        <f>--C20</f>
        <v>1.07</v>
      </c>
      <c r="J20" s="84"/>
      <c r="K20" s="32"/>
      <c r="L20" s="32"/>
      <c r="M20"/>
      <c r="N20" s="39">
        <f t="shared" si="0"/>
        <v>-6.8833827526759706E-15</v>
      </c>
      <c r="O20" s="155" t="s">
        <v>757</v>
      </c>
    </row>
    <row r="21" spans="1:16" s="99" customFormat="1" x14ac:dyDescent="0.2">
      <c r="A21" s="158">
        <v>44738</v>
      </c>
      <c r="B21" s="146">
        <v>-19.03</v>
      </c>
      <c r="C21"/>
      <c r="D21"/>
      <c r="E21" s="32"/>
      <c r="F21" s="32"/>
      <c r="G21" s="132"/>
      <c r="H21" s="32"/>
      <c r="I21" s="32"/>
      <c r="J21" s="132"/>
      <c r="K21" s="32">
        <f>-B21</f>
        <v>19.03</v>
      </c>
      <c r="L21" s="32"/>
      <c r="M21" s="32"/>
      <c r="N21" s="39">
        <f t="shared" si="0"/>
        <v>0</v>
      </c>
      <c r="O21" s="155" t="s">
        <v>644</v>
      </c>
    </row>
    <row r="22" spans="1:16" s="99" customFormat="1" x14ac:dyDescent="0.2">
      <c r="A22" s="158">
        <v>44013</v>
      </c>
      <c r="B22" s="146">
        <v>-100</v>
      </c>
      <c r="C22" s="32">
        <v>1.38</v>
      </c>
      <c r="D22"/>
      <c r="E22" s="32"/>
      <c r="F22" s="32">
        <f>-B22</f>
        <v>100</v>
      </c>
      <c r="G22" s="132"/>
      <c r="H22" s="32"/>
      <c r="I22" s="146">
        <f>--C22</f>
        <v>1.38</v>
      </c>
      <c r="J22" s="132"/>
      <c r="K22" s="32"/>
      <c r="L22" s="32"/>
      <c r="M22" s="32"/>
      <c r="N22" s="39">
        <f t="shared" si="0"/>
        <v>-4.4408920985006262E-15</v>
      </c>
      <c r="O22" s="155" t="s">
        <v>757</v>
      </c>
    </row>
    <row r="23" spans="1:16" s="99" customFormat="1" x14ac:dyDescent="0.2">
      <c r="A23" s="158">
        <v>44038</v>
      </c>
      <c r="B23" s="146">
        <v>-19.03</v>
      </c>
      <c r="C23" s="32"/>
      <c r="D23"/>
      <c r="E23" s="32"/>
      <c r="F23" s="32"/>
      <c r="G23" s="132"/>
      <c r="H23" s="32"/>
      <c r="I23" s="32"/>
      <c r="J23" s="132"/>
      <c r="K23" s="32">
        <f>-B23</f>
        <v>19.03</v>
      </c>
      <c r="L23" s="32"/>
      <c r="M23" s="32"/>
      <c r="N23" s="39">
        <f t="shared" si="0"/>
        <v>0</v>
      </c>
      <c r="O23" s="155" t="s">
        <v>644</v>
      </c>
    </row>
    <row r="24" spans="1:16" s="99" customFormat="1" x14ac:dyDescent="0.2">
      <c r="A24" s="158">
        <v>44044</v>
      </c>
      <c r="B24" s="146">
        <v>-100</v>
      </c>
      <c r="C24" s="32">
        <v>1.43</v>
      </c>
      <c r="D24" s="32"/>
      <c r="E24" s="32"/>
      <c r="F24" s="32">
        <f>-B24</f>
        <v>100</v>
      </c>
      <c r="G24" s="132"/>
      <c r="H24" s="32"/>
      <c r="I24" s="146">
        <f>--C24</f>
        <v>1.43</v>
      </c>
      <c r="J24" s="132"/>
      <c r="K24" s="32"/>
      <c r="L24" s="32"/>
      <c r="M24"/>
      <c r="N24" s="39">
        <f t="shared" si="0"/>
        <v>6.8833827526759706E-15</v>
      </c>
      <c r="O24" s="155" t="s">
        <v>757</v>
      </c>
    </row>
    <row r="25" spans="1:16" s="99" customFormat="1" x14ac:dyDescent="0.2">
      <c r="A25" s="158">
        <v>44069</v>
      </c>
      <c r="B25" s="146">
        <v>-19.03</v>
      </c>
      <c r="C25" s="32"/>
      <c r="D25" s="32"/>
      <c r="E25" s="32"/>
      <c r="F25" s="32"/>
      <c r="G25" s="132"/>
      <c r="H25" s="32"/>
      <c r="I25" s="32"/>
      <c r="J25" s="132"/>
      <c r="K25" s="32">
        <f>-B25</f>
        <v>19.03</v>
      </c>
      <c r="L25" s="32"/>
      <c r="M25"/>
      <c r="N25" s="39">
        <f t="shared" si="0"/>
        <v>0</v>
      </c>
      <c r="O25" s="155" t="s">
        <v>644</v>
      </c>
    </row>
    <row r="26" spans="1:16" s="99" customFormat="1" x14ac:dyDescent="0.2">
      <c r="A26" s="158">
        <v>44075</v>
      </c>
      <c r="B26" s="146">
        <v>-100</v>
      </c>
      <c r="C26" s="32">
        <v>1.62</v>
      </c>
      <c r="D26" s="32"/>
      <c r="E26" s="32"/>
      <c r="F26" s="32">
        <f>-B26</f>
        <v>100</v>
      </c>
      <c r="G26" s="132"/>
      <c r="H26" s="32"/>
      <c r="I26" s="146">
        <f>--C26</f>
        <v>1.62</v>
      </c>
      <c r="J26" s="132"/>
      <c r="K26" s="32"/>
      <c r="L26" s="32"/>
      <c r="M26"/>
      <c r="N26" s="39">
        <f t="shared" si="0"/>
        <v>4.4408920985006262E-15</v>
      </c>
      <c r="O26" s="155" t="s">
        <v>757</v>
      </c>
    </row>
    <row r="27" spans="1:16" s="99" customFormat="1" x14ac:dyDescent="0.2">
      <c r="A27" s="158">
        <v>44100</v>
      </c>
      <c r="B27" s="146">
        <v>-19.03</v>
      </c>
      <c r="C27" s="32"/>
      <c r="D27" s="32"/>
      <c r="E27" s="32"/>
      <c r="F27" s="32"/>
      <c r="G27" s="132"/>
      <c r="H27" s="32"/>
      <c r="I27" s="32"/>
      <c r="J27" s="132"/>
      <c r="K27" s="32">
        <f>-B27</f>
        <v>19.03</v>
      </c>
      <c r="L27" s="32"/>
      <c r="M27"/>
      <c r="N27" s="39">
        <f t="shared" si="0"/>
        <v>0</v>
      </c>
      <c r="O27" s="155" t="s">
        <v>644</v>
      </c>
    </row>
    <row r="28" spans="1:16" s="99" customFormat="1" x14ac:dyDescent="0.2">
      <c r="A28" s="117">
        <v>44105</v>
      </c>
      <c r="B28" s="32">
        <v>-100</v>
      </c>
      <c r="C28" s="32">
        <v>1.73</v>
      </c>
      <c r="D28" s="32"/>
      <c r="E28" s="32"/>
      <c r="F28" s="32">
        <f>-B28</f>
        <v>100</v>
      </c>
      <c r="G28" s="132"/>
      <c r="H28" s="32"/>
      <c r="I28" s="146">
        <f>--C28</f>
        <v>1.73</v>
      </c>
      <c r="J28" s="132"/>
      <c r="K28" s="32"/>
      <c r="L28" s="32"/>
      <c r="M28"/>
      <c r="N28" s="39">
        <f t="shared" si="0"/>
        <v>3.9968028886505635E-15</v>
      </c>
      <c r="O28" s="155" t="s">
        <v>757</v>
      </c>
    </row>
    <row r="29" spans="1:16" s="99" customFormat="1" x14ac:dyDescent="0.2">
      <c r="A29" s="117">
        <v>44130</v>
      </c>
      <c r="B29" s="32">
        <v>-19.03</v>
      </c>
      <c r="C29" s="32"/>
      <c r="D29" s="32"/>
      <c r="E29" s="32"/>
      <c r="F29" s="32"/>
      <c r="G29" s="132"/>
      <c r="H29" s="32"/>
      <c r="I29" s="32"/>
      <c r="J29" s="132"/>
      <c r="K29" s="32">
        <f>-B29</f>
        <v>19.03</v>
      </c>
      <c r="L29" s="32"/>
      <c r="M29"/>
      <c r="N29" s="39">
        <f t="shared" si="0"/>
        <v>0</v>
      </c>
      <c r="O29" s="155" t="s">
        <v>644</v>
      </c>
    </row>
    <row r="30" spans="1:16" s="99" customFormat="1" x14ac:dyDescent="0.2">
      <c r="A30" s="117">
        <v>44866</v>
      </c>
      <c r="B30" s="32">
        <v>-100</v>
      </c>
      <c r="C30" s="32">
        <v>1.96</v>
      </c>
      <c r="D30" s="32"/>
      <c r="E30" s="32"/>
      <c r="F30" s="32">
        <f>-B30</f>
        <v>100</v>
      </c>
      <c r="G30" s="132"/>
      <c r="H30" s="32"/>
      <c r="I30" s="146">
        <f>--C30</f>
        <v>1.96</v>
      </c>
      <c r="J30" s="132"/>
      <c r="K30" s="32"/>
      <c r="L30" s="32"/>
      <c r="M30"/>
      <c r="N30" s="39">
        <f t="shared" si="0"/>
        <v>-6.2172489379008766E-15</v>
      </c>
      <c r="O30" s="155" t="s">
        <v>757</v>
      </c>
    </row>
    <row r="31" spans="1:16" s="147" customFormat="1" x14ac:dyDescent="0.2">
      <c r="A31" s="158">
        <v>44161</v>
      </c>
      <c r="B31" s="146">
        <v>-19.03</v>
      </c>
      <c r="C31" s="146"/>
      <c r="D31" s="146"/>
      <c r="E31" s="146"/>
      <c r="F31" s="146"/>
      <c r="G31" s="159"/>
      <c r="H31" s="146"/>
      <c r="I31" s="146"/>
      <c r="J31" s="159"/>
      <c r="K31" s="32">
        <f>-B31</f>
        <v>19.03</v>
      </c>
      <c r="L31" s="146"/>
      <c r="N31" s="39">
        <f t="shared" si="0"/>
        <v>0</v>
      </c>
      <c r="O31" s="155" t="s">
        <v>644</v>
      </c>
      <c r="P31" s="99"/>
    </row>
    <row r="32" spans="1:16" s="147" customFormat="1" x14ac:dyDescent="0.2">
      <c r="A32" s="158">
        <v>44896</v>
      </c>
      <c r="B32" s="146">
        <v>-100</v>
      </c>
      <c r="C32" s="146">
        <v>2.08</v>
      </c>
      <c r="D32" s="146"/>
      <c r="E32" s="146"/>
      <c r="F32" s="32">
        <f>-B32</f>
        <v>100</v>
      </c>
      <c r="G32" s="159"/>
      <c r="H32" s="146"/>
      <c r="I32" s="146">
        <f>--C32</f>
        <v>2.08</v>
      </c>
      <c r="J32" s="159"/>
      <c r="K32" s="146"/>
      <c r="L32" s="146"/>
      <c r="N32" s="39">
        <f>SUM(B32:F32)-SUM(H32:I32)+SUM(K32:M32)</f>
        <v>-1.7763568394002505E-15</v>
      </c>
      <c r="O32" s="155" t="s">
        <v>757</v>
      </c>
      <c r="P32" s="99"/>
    </row>
    <row r="33" spans="1:17" s="147" customFormat="1" x14ac:dyDescent="0.2">
      <c r="A33" s="158">
        <v>44191</v>
      </c>
      <c r="B33" s="146">
        <v>-19.03</v>
      </c>
      <c r="C33" s="146"/>
      <c r="D33" s="146"/>
      <c r="E33" s="146"/>
      <c r="F33" s="32"/>
      <c r="G33" s="159"/>
      <c r="H33" s="146"/>
      <c r="I33" s="146"/>
      <c r="J33" s="159"/>
      <c r="K33" s="146">
        <v>19.03</v>
      </c>
      <c r="L33" s="146"/>
      <c r="N33" s="39">
        <f>SUM(B33:F33)-SUM(H33:I33)+SUM(K33:M33)</f>
        <v>0</v>
      </c>
      <c r="O33" s="155" t="s">
        <v>644</v>
      </c>
      <c r="P33" s="99"/>
    </row>
    <row r="34" spans="1:17" s="99" customFormat="1" x14ac:dyDescent="0.2">
      <c r="A34" s="158">
        <v>45653</v>
      </c>
      <c r="B34" s="146">
        <v>7500</v>
      </c>
      <c r="C34" s="32"/>
      <c r="D34"/>
      <c r="E34" s="32"/>
      <c r="F34" s="32"/>
      <c r="G34" s="132"/>
      <c r="H34" s="32">
        <f>+B34</f>
        <v>7500</v>
      </c>
      <c r="I34" s="32"/>
      <c r="J34" s="132"/>
      <c r="K34" s="32"/>
      <c r="L34" s="32"/>
      <c r="M34" s="32"/>
      <c r="N34" s="39">
        <f t="shared" si="0"/>
        <v>0</v>
      </c>
      <c r="O34" s="155" t="s">
        <v>698</v>
      </c>
    </row>
    <row r="35" spans="1:17" s="147" customFormat="1" x14ac:dyDescent="0.2">
      <c r="A35" s="158">
        <v>45288</v>
      </c>
      <c r="B35" s="146">
        <v>-4100</v>
      </c>
      <c r="C35" s="146"/>
      <c r="D35" s="146"/>
      <c r="E35" s="146"/>
      <c r="F35" s="32"/>
      <c r="G35" s="159"/>
      <c r="H35" s="146"/>
      <c r="I35" s="146"/>
      <c r="J35" s="159"/>
      <c r="K35" s="146"/>
      <c r="L35" s="146">
        <f>-B35</f>
        <v>4100</v>
      </c>
      <c r="N35" s="39">
        <f t="shared" si="0"/>
        <v>0</v>
      </c>
      <c r="O35" s="155" t="s">
        <v>759</v>
      </c>
      <c r="P35" s="99"/>
    </row>
    <row r="36" spans="1:17" x14ac:dyDescent="0.2">
      <c r="A36" s="31">
        <v>45654</v>
      </c>
      <c r="B36" s="146">
        <v>-12</v>
      </c>
      <c r="K36" s="146">
        <f>-B36</f>
        <v>12</v>
      </c>
      <c r="N36" s="39">
        <f t="shared" si="0"/>
        <v>0</v>
      </c>
      <c r="O36" s="99" t="s">
        <v>589</v>
      </c>
    </row>
    <row r="37" spans="1:17" s="147" customFormat="1" x14ac:dyDescent="0.2">
      <c r="A37" s="158"/>
      <c r="B37" s="146"/>
      <c r="C37" s="146"/>
      <c r="D37" s="146"/>
      <c r="E37" s="146"/>
      <c r="F37" s="32"/>
      <c r="G37" s="159"/>
      <c r="H37" s="146"/>
      <c r="I37" s="146"/>
      <c r="J37" s="159"/>
      <c r="K37" s="146"/>
      <c r="L37" s="146"/>
      <c r="N37" s="39">
        <f t="shared" ref="N37" si="1">SUM(B37:M37)</f>
        <v>0</v>
      </c>
      <c r="O37" s="155"/>
      <c r="P37" s="99"/>
    </row>
    <row r="38" spans="1:17" s="20" customFormat="1" x14ac:dyDescent="0.2">
      <c r="A38" s="20" t="s">
        <v>203</v>
      </c>
      <c r="B38" s="39">
        <f t="shared" ref="B38:E38" si="2">SUM(B5:B37)</f>
        <v>5794.8099999999959</v>
      </c>
      <c r="C38" s="39">
        <f t="shared" si="2"/>
        <v>1688.3799999999947</v>
      </c>
      <c r="D38" s="39">
        <f t="shared" si="2"/>
        <v>-204.36999999999992</v>
      </c>
      <c r="E38" s="39">
        <f t="shared" si="2"/>
        <v>638</v>
      </c>
      <c r="F38" s="39">
        <f>SUM(F5:F37)</f>
        <v>-3600</v>
      </c>
      <c r="G38" s="83"/>
      <c r="H38" s="39">
        <f>SUM(H5:H37)</f>
        <v>7500</v>
      </c>
      <c r="I38" s="39">
        <f>SUM(I5:I37)</f>
        <v>13.37</v>
      </c>
      <c r="J38" s="83"/>
      <c r="K38" s="39">
        <f>SUM(K5:K37)</f>
        <v>372.89999999999986</v>
      </c>
      <c r="L38" s="39">
        <f>SUM(L5:L37)</f>
        <v>4100</v>
      </c>
      <c r="M38" s="39">
        <f>SUM(M5:M37)</f>
        <v>0</v>
      </c>
      <c r="N38" s="146">
        <f>SUM(N5:N37)</f>
        <v>3.3306690738754696E-15</v>
      </c>
      <c r="O38" s="153"/>
      <c r="P38" s="154"/>
    </row>
    <row r="39" spans="1:17" s="20" customFormat="1" x14ac:dyDescent="0.2">
      <c r="B39" s="39"/>
      <c r="C39" s="39"/>
      <c r="D39" s="39"/>
      <c r="E39" s="39"/>
      <c r="F39" s="39"/>
      <c r="G39" s="83"/>
      <c r="H39" s="39"/>
      <c r="I39" s="39"/>
      <c r="J39" s="83"/>
      <c r="K39" s="39"/>
      <c r="L39" s="39"/>
      <c r="M39" s="39"/>
      <c r="N39" s="146"/>
      <c r="O39" s="153"/>
      <c r="P39" s="154"/>
    </row>
    <row r="40" spans="1:17" x14ac:dyDescent="0.2">
      <c r="A40" s="20" t="s">
        <v>199</v>
      </c>
      <c r="B40" s="32"/>
      <c r="C40" s="32"/>
      <c r="D40" s="32"/>
      <c r="E40" s="32"/>
      <c r="G40" s="132"/>
      <c r="H40" s="32"/>
      <c r="I40" s="32"/>
      <c r="J40" s="132"/>
      <c r="M40" s="32"/>
      <c r="N40" s="146"/>
      <c r="O40" s="155"/>
    </row>
    <row r="41" spans="1:17" x14ac:dyDescent="0.2">
      <c r="A41" s="70" t="s">
        <v>549</v>
      </c>
      <c r="B41" s="32"/>
      <c r="C41" s="32"/>
      <c r="D41" s="116">
        <f>+K38</f>
        <v>372.89999999999986</v>
      </c>
      <c r="E41" s="32"/>
      <c r="G41" s="132"/>
      <c r="H41" s="47"/>
      <c r="I41" s="32"/>
      <c r="J41" s="132"/>
      <c r="K41" s="32">
        <v>-372.9</v>
      </c>
      <c r="M41" s="32"/>
      <c r="N41" s="146">
        <f>SUM(B41:M41)</f>
        <v>0</v>
      </c>
      <c r="O41" s="252"/>
      <c r="P41" s="238"/>
    </row>
    <row r="42" spans="1:17" x14ac:dyDescent="0.2">
      <c r="A42" s="107" t="s">
        <v>760</v>
      </c>
      <c r="B42" s="32"/>
      <c r="C42" s="32"/>
      <c r="D42" s="221">
        <f>+D41+D38</f>
        <v>168.52999999999994</v>
      </c>
      <c r="E42" s="32"/>
      <c r="G42" s="132"/>
      <c r="H42" s="47"/>
      <c r="I42" s="32"/>
      <c r="J42" s="132"/>
      <c r="M42" s="32"/>
      <c r="N42" s="146"/>
      <c r="O42" s="211"/>
      <c r="P42" s="98"/>
    </row>
    <row r="43" spans="1:17" x14ac:dyDescent="0.2">
      <c r="A43" s="70"/>
      <c r="B43" s="32"/>
      <c r="C43" s="32"/>
      <c r="D43" s="72"/>
      <c r="E43" s="32"/>
      <c r="G43" s="132"/>
      <c r="I43" s="32"/>
      <c r="J43" s="132"/>
      <c r="M43" s="32"/>
      <c r="N43" s="146"/>
      <c r="O43" s="211"/>
      <c r="P43" s="98"/>
    </row>
    <row r="44" spans="1:17" x14ac:dyDescent="0.2">
      <c r="A44" s="147"/>
      <c r="B44" s="32"/>
      <c r="C44" s="32"/>
      <c r="D44" s="47"/>
      <c r="E44" s="32"/>
      <c r="G44" s="132"/>
      <c r="I44" s="32"/>
      <c r="J44" s="132"/>
      <c r="M44" s="32"/>
      <c r="N44" s="146"/>
      <c r="O44" s="155"/>
    </row>
    <row r="45" spans="1:17" s="20" customFormat="1" x14ac:dyDescent="0.2">
      <c r="A45" s="20" t="s">
        <v>194</v>
      </c>
      <c r="B45" s="39">
        <f>+SUM(B38:B44)</f>
        <v>5794.8099999999959</v>
      </c>
      <c r="C45" s="39">
        <f>+SUM(C38:C44)</f>
        <v>1688.3799999999947</v>
      </c>
      <c r="D45" s="39">
        <f>+D42</f>
        <v>168.52999999999994</v>
      </c>
      <c r="E45" s="39">
        <f>+SUM(E38:E44)</f>
        <v>638</v>
      </c>
      <c r="F45" s="39">
        <f>+F38</f>
        <v>-3600</v>
      </c>
      <c r="G45" s="83"/>
      <c r="H45" s="39">
        <f>+SUM(H38:H44)</f>
        <v>7500</v>
      </c>
      <c r="I45" s="39">
        <f>+SUM(I38:I44)</f>
        <v>13.37</v>
      </c>
      <c r="J45" s="83"/>
      <c r="K45" s="39"/>
      <c r="L45" s="39">
        <f>-+SUM(L38:L44)</f>
        <v>-4100</v>
      </c>
      <c r="M45" s="39">
        <f>+SUM(M38:M44)</f>
        <v>0</v>
      </c>
      <c r="N45" s="39"/>
      <c r="O45" s="153"/>
      <c r="P45" s="154"/>
    </row>
    <row r="46" spans="1:17" x14ac:dyDescent="0.2">
      <c r="A46" s="20" t="s">
        <v>761</v>
      </c>
      <c r="B46" s="39"/>
      <c r="C46" s="39"/>
      <c r="D46" s="20"/>
      <c r="E46" s="39">
        <f>(H45+I45+L45+K45)</f>
        <v>3413.37</v>
      </c>
      <c r="G46" s="132"/>
      <c r="H46" s="32"/>
      <c r="I46" s="32"/>
      <c r="J46" s="132"/>
      <c r="M46" s="32"/>
      <c r="N46" s="146"/>
      <c r="O46" s="155"/>
      <c r="Q46" s="216">
        <f>+H45+E46</f>
        <v>10913.369999999999</v>
      </c>
    </row>
    <row r="47" spans="1:17" x14ac:dyDescent="0.2">
      <c r="B47" s="32"/>
      <c r="C47" s="32"/>
      <c r="D47" s="32"/>
      <c r="E47" s="32"/>
      <c r="G47" s="132"/>
      <c r="H47" s="32"/>
      <c r="I47" s="32"/>
      <c r="J47" s="132"/>
      <c r="M47" s="32"/>
      <c r="N47" s="146"/>
      <c r="O47" s="155"/>
    </row>
    <row r="48" spans="1:17" s="20" customFormat="1" x14ac:dyDescent="0.2">
      <c r="A48" s="20" t="s">
        <v>240</v>
      </c>
      <c r="B48" s="47">
        <f>+B45</f>
        <v>5794.8099999999959</v>
      </c>
      <c r="C48" s="47">
        <f>+C45</f>
        <v>1688.3799999999947</v>
      </c>
      <c r="D48" s="47">
        <f>+D45</f>
        <v>168.52999999999994</v>
      </c>
      <c r="E48" s="39">
        <f>+E45+E46</f>
        <v>4051.37</v>
      </c>
      <c r="F48" s="39">
        <f>+F45</f>
        <v>-3600</v>
      </c>
      <c r="G48" s="83"/>
      <c r="H48" s="39"/>
      <c r="I48" s="39"/>
      <c r="J48" s="83"/>
      <c r="K48" s="39"/>
      <c r="L48" s="39"/>
      <c r="M48" s="39"/>
      <c r="N48" s="39">
        <f>SUM(B48:F48)-SUM(H48:I48)+SUM(K48:M48)</f>
        <v>8103.0899999999892</v>
      </c>
      <c r="O48" s="153"/>
      <c r="P48" s="154"/>
    </row>
    <row r="50" spans="1:81" s="133" customFormat="1" ht="15" x14ac:dyDescent="0.2">
      <c r="A50" s="20" t="s">
        <v>592</v>
      </c>
      <c r="C50" s="134"/>
      <c r="D50" s="134"/>
      <c r="F50" s="134"/>
      <c r="G50" s="135"/>
      <c r="J50" s="135"/>
      <c r="K50" s="134"/>
      <c r="L50" s="134"/>
      <c r="N50" s="217"/>
      <c r="O50" s="99"/>
      <c r="P50" s="99"/>
    </row>
    <row r="51" spans="1:81" s="133" customFormat="1" ht="15" x14ac:dyDescent="0.2">
      <c r="A51" s="147"/>
      <c r="C51" s="134"/>
      <c r="D51" s="134"/>
      <c r="F51" s="134"/>
      <c r="G51" s="135"/>
      <c r="J51" s="135"/>
      <c r="K51" s="134"/>
      <c r="L51" s="134"/>
      <c r="O51" s="99"/>
      <c r="P51" s="99"/>
    </row>
    <row r="52" spans="1:81" x14ac:dyDescent="0.2">
      <c r="A52" s="161" t="s">
        <v>729</v>
      </c>
      <c r="B52" s="146"/>
      <c r="C52" s="147"/>
      <c r="F52" s="146"/>
    </row>
    <row r="53" spans="1:81" ht="13.5" customHeight="1" x14ac:dyDescent="0.2">
      <c r="A53" s="148" t="s">
        <v>788</v>
      </c>
      <c r="B53" s="146">
        <f>-12*100</f>
        <v>-1200</v>
      </c>
      <c r="C53" s="146" t="s">
        <v>762</v>
      </c>
      <c r="D53" s="146">
        <v>3600</v>
      </c>
    </row>
    <row r="54" spans="1:81" ht="12.75" customHeight="1" x14ac:dyDescent="0.2">
      <c r="A54" s="148"/>
      <c r="B54" s="146"/>
      <c r="C54" s="146"/>
      <c r="D54" s="146"/>
    </row>
    <row r="55" spans="1:81" s="84" customFormat="1" x14ac:dyDescent="0.2">
      <c r="A55" s="107"/>
      <c r="B55" s="39"/>
      <c r="C55" s="39"/>
      <c r="D55" s="39"/>
      <c r="E55" s="20"/>
      <c r="F55" s="39"/>
      <c r="H55" s="187"/>
      <c r="I55"/>
      <c r="K55" s="32"/>
      <c r="L55" s="32"/>
      <c r="M55"/>
      <c r="N55" s="216">
        <f>+B48+C48+D48+E48+F48</f>
        <v>8103.0899999999892</v>
      </c>
      <c r="O55" s="99"/>
      <c r="P55" s="99"/>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row>
    <row r="56" spans="1:81" s="84" customFormat="1" x14ac:dyDescent="0.2">
      <c r="A56" s="161" t="s">
        <v>670</v>
      </c>
      <c r="B56" s="146"/>
      <c r="C56" s="146"/>
      <c r="D56" s="146"/>
      <c r="E56" s="147"/>
      <c r="F56" s="146"/>
      <c r="H56"/>
      <c r="I56"/>
      <c r="K56" s="32"/>
      <c r="L56" s="32"/>
      <c r="M56"/>
      <c r="N56"/>
      <c r="O56" s="99"/>
      <c r="P56" s="99"/>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row>
    <row r="57" spans="1:81" s="84" customFormat="1" x14ac:dyDescent="0.2">
      <c r="A57" s="148" t="s">
        <v>763</v>
      </c>
      <c r="B57" s="146">
        <f>+D5</f>
        <v>-204.36999999999992</v>
      </c>
      <c r="C57" s="32"/>
      <c r="D57" s="32"/>
      <c r="E57"/>
      <c r="F57" s="32"/>
      <c r="H57"/>
      <c r="I57"/>
      <c r="K57" s="32"/>
      <c r="L57" s="32"/>
      <c r="M57"/>
      <c r="N57"/>
      <c r="O57" s="99"/>
      <c r="P57" s="99"/>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row>
    <row r="58" spans="1:81" s="84" customFormat="1" x14ac:dyDescent="0.2">
      <c r="A58" s="148" t="s">
        <v>764</v>
      </c>
      <c r="B58" s="215">
        <f>+K38</f>
        <v>372.89999999999986</v>
      </c>
      <c r="C58" s="70"/>
      <c r="D58" s="32"/>
      <c r="E58"/>
      <c r="F58" s="32"/>
      <c r="H58"/>
      <c r="I58"/>
      <c r="K58" s="32"/>
      <c r="L58" s="32"/>
      <c r="M58"/>
      <c r="N58"/>
      <c r="O58" s="99"/>
      <c r="P58" s="99"/>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row>
    <row r="59" spans="1:81" s="84" customFormat="1" x14ac:dyDescent="0.2">
      <c r="A59" s="148" t="s">
        <v>765</v>
      </c>
      <c r="B59" s="212">
        <f>SUM(B57:B58)</f>
        <v>168.52999999999994</v>
      </c>
      <c r="C59"/>
      <c r="D59"/>
      <c r="E59"/>
      <c r="F59" s="32"/>
      <c r="H59"/>
      <c r="I59"/>
      <c r="K59" s="32"/>
      <c r="L59" s="32"/>
      <c r="M59"/>
      <c r="N59"/>
      <c r="O59" s="99"/>
      <c r="P59" s="9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row>
    <row r="60" spans="1:81" s="84" customFormat="1" x14ac:dyDescent="0.2">
      <c r="A60"/>
      <c r="B60"/>
      <c r="C60"/>
      <c r="D60" s="112"/>
      <c r="E60"/>
      <c r="F60" s="32"/>
      <c r="H60"/>
      <c r="I60"/>
      <c r="K60" s="32"/>
      <c r="L60" s="32"/>
      <c r="M60"/>
      <c r="N60"/>
      <c r="O60" s="99"/>
      <c r="P60" s="99"/>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row>
    <row r="61" spans="1:81" x14ac:dyDescent="0.2">
      <c r="B61" s="47"/>
    </row>
    <row r="62" spans="1:81" x14ac:dyDescent="0.2">
      <c r="B62" s="216"/>
    </row>
  </sheetData>
  <mergeCells count="1">
    <mergeCell ref="O41:P41"/>
  </mergeCells>
  <phoneticPr fontId="6" type="noConversion"/>
  <printOptions gridLines="1"/>
  <pageMargins left="0.25" right="0.25" top="0.75" bottom="0.75" header="0.3" footer="0.3"/>
  <pageSetup paperSize="9" scale="55" orientation="portrait" r:id="rId1"/>
  <headerFooter alignWithMargins="0">
    <oddFooter>&amp;L&amp;F, &amp;A&amp;R&amp;D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8136-754B-4C4F-8784-C8624507A71A}">
  <sheetPr>
    <pageSetUpPr fitToPage="1"/>
  </sheetPr>
  <dimension ref="A1:AU29"/>
  <sheetViews>
    <sheetView zoomScale="136" zoomScaleNormal="136" workbookViewId="0">
      <selection activeCell="E31" sqref="E31"/>
    </sheetView>
  </sheetViews>
  <sheetFormatPr defaultColWidth="8.85546875" defaultRowHeight="12.75" x14ac:dyDescent="0.2"/>
  <cols>
    <col min="1" max="1" width="6.42578125" customWidth="1"/>
    <col min="3" max="3" width="40.28515625" customWidth="1"/>
    <col min="4" max="4" width="9.140625" style="4" customWidth="1"/>
    <col min="5" max="5" width="10" style="201" customWidth="1"/>
    <col min="6" max="6" width="2.42578125" customWidth="1"/>
    <col min="7" max="7" width="9.140625" style="4" customWidth="1"/>
    <col min="8" max="8" width="10" style="201" customWidth="1"/>
    <col min="9" max="9" width="2.42578125" customWidth="1"/>
    <col min="10" max="10" width="8.28515625" style="4" bestFit="1" customWidth="1"/>
    <col min="11" max="11" width="10" style="201" customWidth="1"/>
    <col min="12" max="12" width="2.42578125" customWidth="1"/>
    <col min="13" max="13" width="9.140625" style="4" customWidth="1"/>
    <col min="14" max="14" width="11" style="195" bestFit="1" customWidth="1"/>
    <col min="15" max="15" width="2.42578125" customWidth="1"/>
    <col min="16" max="16" width="9.140625" style="4" customWidth="1"/>
    <col min="17" max="17" width="11.42578125" style="195" bestFit="1" customWidth="1"/>
    <col min="18" max="18" width="2.42578125" customWidth="1"/>
    <col min="19" max="19" width="9.140625" style="4" customWidth="1"/>
    <col min="20" max="20" width="11.42578125" customWidth="1"/>
    <col min="21" max="21" width="2.42578125" customWidth="1"/>
    <col min="22" max="22" width="9.140625" style="4" customWidth="1"/>
    <col min="24" max="24" width="2.42578125" customWidth="1"/>
    <col min="25" max="25" width="9.140625" style="4" customWidth="1"/>
    <col min="27" max="27" width="2.42578125" customWidth="1"/>
    <col min="28" max="28" width="9.140625" style="4" customWidth="1"/>
    <col min="30" max="30" width="2.42578125" customWidth="1"/>
    <col min="31" max="31" width="9.140625" style="4" customWidth="1"/>
    <col min="33" max="33" width="2.42578125" customWidth="1"/>
    <col min="34" max="34" width="9.140625" style="4" customWidth="1"/>
    <col min="36" max="36" width="2.42578125" customWidth="1"/>
    <col min="37" max="37" width="9.140625" style="4" customWidth="1"/>
    <col min="39" max="39" width="2.42578125" customWidth="1"/>
    <col min="42" max="42" width="2.42578125" customWidth="1"/>
  </cols>
  <sheetData>
    <row r="1" spans="1:44" ht="20.25" x14ac:dyDescent="0.3">
      <c r="A1" s="10" t="s">
        <v>69</v>
      </c>
    </row>
    <row r="3" spans="1:44" s="109" customFormat="1" x14ac:dyDescent="0.2">
      <c r="D3" s="239">
        <v>44926</v>
      </c>
      <c r="E3" s="240"/>
      <c r="G3" s="239">
        <v>44561</v>
      </c>
      <c r="H3" s="240"/>
      <c r="J3" s="239">
        <v>44196</v>
      </c>
      <c r="K3" s="240"/>
      <c r="M3" s="239">
        <v>43830</v>
      </c>
      <c r="N3" s="240"/>
      <c r="P3" s="239">
        <v>43465</v>
      </c>
      <c r="Q3" s="240"/>
      <c r="S3" s="239">
        <v>43100</v>
      </c>
      <c r="T3" s="240"/>
      <c r="V3" s="247">
        <v>42735</v>
      </c>
      <c r="W3" s="247"/>
      <c r="Y3" s="247">
        <v>42369</v>
      </c>
      <c r="Z3" s="247"/>
      <c r="AB3" s="247">
        <v>42004</v>
      </c>
      <c r="AC3" s="247"/>
      <c r="AE3" s="247">
        <v>41639</v>
      </c>
      <c r="AF3" s="247"/>
      <c r="AH3" s="247">
        <v>41274</v>
      </c>
      <c r="AI3" s="247"/>
      <c r="AK3" s="247">
        <v>40908</v>
      </c>
      <c r="AL3" s="247"/>
      <c r="AN3" s="247">
        <v>40543</v>
      </c>
      <c r="AO3" s="247"/>
      <c r="AP3" s="110"/>
      <c r="AQ3" s="247">
        <v>40178</v>
      </c>
      <c r="AR3" s="247"/>
    </row>
    <row r="4" spans="1:44" x14ac:dyDescent="0.2">
      <c r="D4" s="243" t="s">
        <v>73</v>
      </c>
      <c r="E4" s="244"/>
      <c r="G4" s="243" t="s">
        <v>73</v>
      </c>
      <c r="H4" s="244"/>
      <c r="J4" s="243" t="s">
        <v>73</v>
      </c>
      <c r="K4" s="244"/>
      <c r="M4" s="243" t="s">
        <v>73</v>
      </c>
      <c r="N4" s="244"/>
      <c r="P4" s="243" t="s">
        <v>73</v>
      </c>
      <c r="Q4" s="244"/>
      <c r="S4" s="243" t="s">
        <v>73</v>
      </c>
      <c r="T4" s="244"/>
      <c r="V4" s="248" t="s">
        <v>73</v>
      </c>
      <c r="W4" s="248"/>
      <c r="Y4" s="248" t="s">
        <v>73</v>
      </c>
      <c r="Z4" s="248"/>
      <c r="AB4" s="248" t="s">
        <v>73</v>
      </c>
      <c r="AC4" s="248"/>
      <c r="AE4" s="248" t="s">
        <v>73</v>
      </c>
      <c r="AF4" s="248"/>
      <c r="AH4" s="248" t="s">
        <v>73</v>
      </c>
      <c r="AI4" s="248"/>
      <c r="AK4" s="248" t="s">
        <v>73</v>
      </c>
      <c r="AL4" s="248"/>
      <c r="AN4" s="248" t="s">
        <v>73</v>
      </c>
      <c r="AO4" s="248"/>
      <c r="AP4" s="35"/>
      <c r="AQ4" s="248" t="s">
        <v>73</v>
      </c>
      <c r="AR4" s="248"/>
    </row>
    <row r="5" spans="1:44" ht="15.75" x14ac:dyDescent="0.25">
      <c r="A5" s="2" t="s">
        <v>21</v>
      </c>
      <c r="E5" s="196"/>
      <c r="H5" s="196"/>
      <c r="K5" s="196"/>
      <c r="N5" s="196"/>
      <c r="Q5" s="196"/>
      <c r="T5" s="173"/>
      <c r="W5" s="173"/>
      <c r="Z5" s="8"/>
      <c r="AC5" s="8"/>
      <c r="AF5" s="8"/>
      <c r="AI5" s="8"/>
      <c r="AL5" s="8"/>
      <c r="AN5" s="5"/>
      <c r="AO5" s="8"/>
      <c r="AP5" s="7"/>
      <c r="AQ5" s="5"/>
      <c r="AR5" s="8"/>
    </row>
    <row r="6" spans="1:44" s="12" customFormat="1" ht="19.5" customHeight="1" x14ac:dyDescent="0.2">
      <c r="A6" s="11" t="s">
        <v>23</v>
      </c>
      <c r="D6" s="68"/>
      <c r="E6" s="197"/>
      <c r="G6" s="68"/>
      <c r="H6" s="197"/>
      <c r="J6" s="68"/>
      <c r="K6" s="197"/>
      <c r="M6" s="68"/>
      <c r="N6" s="197"/>
      <c r="P6" s="68"/>
      <c r="Q6" s="197"/>
      <c r="S6" s="68"/>
      <c r="T6" s="188"/>
      <c r="V6" s="68"/>
      <c r="W6" s="188"/>
      <c r="Y6" s="68"/>
      <c r="Z6" s="14"/>
      <c r="AB6" s="68"/>
      <c r="AC6" s="14"/>
      <c r="AE6" s="68"/>
      <c r="AF6" s="14"/>
      <c r="AH6" s="68"/>
      <c r="AI6" s="14"/>
      <c r="AK6" s="68"/>
      <c r="AL6" s="14"/>
      <c r="AN6" s="13"/>
      <c r="AO6" s="14"/>
      <c r="AP6" s="36"/>
      <c r="AQ6" s="13"/>
      <c r="AR6" s="14"/>
    </row>
    <row r="7" spans="1:44" x14ac:dyDescent="0.2">
      <c r="A7" t="s">
        <v>25</v>
      </c>
      <c r="E7" s="202">
        <v>0</v>
      </c>
      <c r="H7" s="202">
        <v>0</v>
      </c>
      <c r="K7" s="202">
        <v>0</v>
      </c>
      <c r="N7" s="196">
        <v>0</v>
      </c>
      <c r="Q7" s="196">
        <v>0</v>
      </c>
      <c r="T7" s="173">
        <v>0</v>
      </c>
      <c r="W7" s="173">
        <v>0</v>
      </c>
      <c r="Z7" s="8">
        <v>0</v>
      </c>
      <c r="AC7" s="8">
        <v>0</v>
      </c>
      <c r="AF7" s="8">
        <v>0</v>
      </c>
      <c r="AI7" s="8">
        <v>0</v>
      </c>
      <c r="AL7" s="8">
        <v>0</v>
      </c>
      <c r="AN7" s="5"/>
      <c r="AO7" s="8">
        <v>0</v>
      </c>
      <c r="AP7" s="7"/>
      <c r="AQ7" s="5"/>
      <c r="AR7" s="8">
        <v>0</v>
      </c>
    </row>
    <row r="8" spans="1:44" x14ac:dyDescent="0.2">
      <c r="E8" s="196"/>
      <c r="H8" s="196"/>
      <c r="K8" s="196"/>
      <c r="N8" s="196"/>
      <c r="Q8" s="196"/>
      <c r="T8" s="173"/>
      <c r="W8" s="173"/>
      <c r="Z8" s="8"/>
      <c r="AC8" s="8"/>
      <c r="AF8" s="8"/>
      <c r="AI8" s="8"/>
      <c r="AL8" s="8"/>
      <c r="AN8" s="5"/>
      <c r="AO8" s="8"/>
      <c r="AP8" s="7"/>
      <c r="AQ8" s="5"/>
      <c r="AR8" s="8"/>
    </row>
    <row r="9" spans="1:44" s="12" customFormat="1" ht="19.5" customHeight="1" x14ac:dyDescent="0.2">
      <c r="A9" s="11" t="s">
        <v>24</v>
      </c>
      <c r="D9" s="68"/>
      <c r="E9" s="197"/>
      <c r="G9" s="68"/>
      <c r="H9" s="197"/>
      <c r="J9" s="68"/>
      <c r="K9" s="197"/>
      <c r="M9" s="68"/>
      <c r="N9" s="197"/>
      <c r="P9" s="68"/>
      <c r="Q9" s="197"/>
      <c r="S9" s="68"/>
      <c r="T9" s="188"/>
      <c r="V9" s="68"/>
      <c r="W9" s="188"/>
      <c r="Y9" s="68"/>
      <c r="Z9" s="14"/>
      <c r="AB9" s="68"/>
      <c r="AC9" s="14"/>
      <c r="AE9" s="68"/>
      <c r="AF9" s="14"/>
      <c r="AH9" s="68"/>
      <c r="AI9" s="14"/>
      <c r="AK9" s="68"/>
      <c r="AL9" s="14"/>
      <c r="AN9" s="13"/>
      <c r="AO9" s="14"/>
      <c r="AP9" s="36"/>
      <c r="AQ9" s="13"/>
      <c r="AR9" s="14"/>
    </row>
    <row r="10" spans="1:44" x14ac:dyDescent="0.2">
      <c r="A10" t="s">
        <v>26</v>
      </c>
      <c r="D10" s="193">
        <f>+'kolommenbalans 2022'!D54</f>
        <v>-204.36999999999992</v>
      </c>
      <c r="E10" s="196"/>
      <c r="G10" s="193">
        <v>-305.83999999999992</v>
      </c>
      <c r="H10" s="196"/>
      <c r="J10" s="4">
        <v>-473.83999999999992</v>
      </c>
      <c r="K10" s="196"/>
      <c r="M10" s="4">
        <v>-164.07999999999993</v>
      </c>
      <c r="N10" s="198"/>
      <c r="P10" s="4">
        <f>+'kolommenbalans 2018'!D46</f>
        <v>199.92000000000002</v>
      </c>
      <c r="Q10" s="198"/>
      <c r="S10" s="4">
        <v>1894.85</v>
      </c>
      <c r="T10" s="189"/>
      <c r="V10" s="4">
        <f>+'balans 2016'!D10</f>
        <v>167.54</v>
      </c>
      <c r="W10" s="189"/>
      <c r="Y10" s="4">
        <f>+'balans 2015'!D10</f>
        <v>163.28</v>
      </c>
      <c r="Z10" s="15"/>
      <c r="AB10" s="4">
        <f>+'kolommenbalans 2014'!E29</f>
        <v>112.35</v>
      </c>
      <c r="AC10" s="15"/>
      <c r="AE10" s="4">
        <v>99.669999999999987</v>
      </c>
      <c r="AF10" s="15"/>
      <c r="AH10" s="4">
        <v>62.07</v>
      </c>
      <c r="AI10" s="15"/>
      <c r="AK10" s="4">
        <v>69.2</v>
      </c>
      <c r="AL10" s="15"/>
      <c r="AN10" s="5">
        <v>0</v>
      </c>
      <c r="AO10" s="15"/>
      <c r="AP10" s="26"/>
      <c r="AQ10" s="5">
        <v>0</v>
      </c>
      <c r="AR10" s="15"/>
    </row>
    <row r="11" spans="1:44" ht="13.5" thickBot="1" x14ac:dyDescent="0.25">
      <c r="A11" s="70" t="s">
        <v>427</v>
      </c>
      <c r="D11" s="9">
        <f>+'kolommenbalans 2022'!B54+'kolommenbalans 2022'!C54</f>
        <v>10142.719999999992</v>
      </c>
      <c r="E11" s="196"/>
      <c r="G11" s="9">
        <v>10164.009999999993</v>
      </c>
      <c r="H11" s="196"/>
      <c r="J11" s="9">
        <v>7132.0099999999929</v>
      </c>
      <c r="K11" s="196"/>
      <c r="M11" s="164">
        <v>18260.939999999991</v>
      </c>
      <c r="N11" s="196"/>
      <c r="P11" s="9">
        <f>+'kolommenbalans 2018'!B46+'kolommenbalans 2018'!C46</f>
        <v>22356.939999999991</v>
      </c>
      <c r="Q11" s="196"/>
      <c r="S11" s="9">
        <v>21340.339999999997</v>
      </c>
      <c r="T11" s="173"/>
      <c r="V11" s="9">
        <f>+'balans 2016'!D11</f>
        <v>19843.679999999993</v>
      </c>
      <c r="W11" s="173"/>
      <c r="Y11" s="4">
        <f>+'balans 2015'!D11</f>
        <v>21437.119999999995</v>
      </c>
      <c r="Z11" s="8"/>
      <c r="AB11" s="9">
        <f>+'kolommenbalans 2014'!C29+'kolommenbalans 2014'!D29</f>
        <v>18681.909999999996</v>
      </c>
      <c r="AC11" s="8"/>
      <c r="AE11" s="9">
        <v>18624.18</v>
      </c>
      <c r="AF11" s="8"/>
      <c r="AH11" s="9">
        <v>11168.810000000001</v>
      </c>
      <c r="AI11" s="8"/>
      <c r="AK11" s="9">
        <v>10533.65</v>
      </c>
      <c r="AL11" s="8"/>
      <c r="AN11" s="6">
        <v>6086.88</v>
      </c>
      <c r="AO11" s="8"/>
      <c r="AP11" s="7"/>
      <c r="AQ11" s="6">
        <v>635.5</v>
      </c>
      <c r="AR11" s="8"/>
    </row>
    <row r="12" spans="1:44" ht="13.5" thickBot="1" x14ac:dyDescent="0.25">
      <c r="E12" s="194">
        <f>+D11+D10</f>
        <v>9938.3499999999913</v>
      </c>
      <c r="H12" s="194">
        <v>9858.1699999999928</v>
      </c>
      <c r="K12" s="194">
        <v>6658.1699999999928</v>
      </c>
      <c r="N12" s="194">
        <v>18096.859999999993</v>
      </c>
      <c r="Q12" s="194">
        <f>+P11+P10</f>
        <v>22556.85999999999</v>
      </c>
      <c r="T12" s="194">
        <v>23235.189999999995</v>
      </c>
      <c r="W12" s="190">
        <f>+V11+V10</f>
        <v>20011.219999999994</v>
      </c>
      <c r="Z12" s="16">
        <f>+Y11+Y10</f>
        <v>21600.399999999994</v>
      </c>
      <c r="AC12" s="16">
        <f>+AB11+AB10</f>
        <v>18794.259999999995</v>
      </c>
      <c r="AF12" s="16">
        <v>18723.849999999999</v>
      </c>
      <c r="AI12" s="16">
        <v>11230.880000000001</v>
      </c>
      <c r="AL12" s="16">
        <v>10602.85</v>
      </c>
      <c r="AN12" s="5"/>
      <c r="AO12" s="16">
        <v>6086.88</v>
      </c>
      <c r="AP12" s="7"/>
      <c r="AQ12" s="5"/>
      <c r="AR12" s="16">
        <v>635.5</v>
      </c>
    </row>
    <row r="13" spans="1:44" s="20" customFormat="1" ht="19.5" customHeight="1" x14ac:dyDescent="0.2">
      <c r="A13" s="1"/>
      <c r="C13" s="107" t="s">
        <v>739</v>
      </c>
      <c r="D13" s="165"/>
      <c r="E13" s="203">
        <f>+E12</f>
        <v>9938.3499999999913</v>
      </c>
      <c r="F13" s="107"/>
      <c r="G13" s="165"/>
      <c r="H13" s="203">
        <v>9858.1699999999928</v>
      </c>
      <c r="I13" s="107"/>
      <c r="J13" s="165"/>
      <c r="K13" s="203">
        <v>6658.1699999999928</v>
      </c>
      <c r="L13" s="107"/>
      <c r="M13" s="165"/>
      <c r="N13" s="199">
        <v>18096.859999999993</v>
      </c>
      <c r="O13" s="107"/>
      <c r="P13" s="165"/>
      <c r="Q13" s="196">
        <f>+Q12+Q7</f>
        <v>22556.85999999999</v>
      </c>
      <c r="R13" s="107"/>
      <c r="S13" s="165"/>
      <c r="T13" s="191">
        <v>23235.19</v>
      </c>
      <c r="U13" s="107"/>
      <c r="V13" s="165"/>
      <c r="W13" s="191">
        <f>+W12+W7</f>
        <v>20011.219999999994</v>
      </c>
      <c r="X13" s="107"/>
      <c r="Y13" s="165"/>
      <c r="Z13" s="18">
        <f>+Z12+Z7</f>
        <v>21600.399999999994</v>
      </c>
      <c r="AA13" s="107"/>
      <c r="AB13" s="165"/>
      <c r="AC13" s="18">
        <f>+AC12+AC7</f>
        <v>18794.259999999995</v>
      </c>
      <c r="AD13" s="107"/>
      <c r="AE13" s="165"/>
      <c r="AF13" s="18">
        <v>18723.849999999999</v>
      </c>
      <c r="AG13" s="107"/>
      <c r="AH13" s="165"/>
      <c r="AI13" s="18">
        <v>11230.880000000001</v>
      </c>
      <c r="AJ13" s="107"/>
      <c r="AK13" s="165"/>
      <c r="AL13" s="18">
        <v>10602.85</v>
      </c>
      <c r="AM13" s="107"/>
      <c r="AN13" s="37"/>
      <c r="AO13" s="18">
        <v>6086.88</v>
      </c>
      <c r="AP13" s="37"/>
      <c r="AQ13" s="37"/>
      <c r="AR13" s="18">
        <v>635.5</v>
      </c>
    </row>
    <row r="14" spans="1:44" x14ac:dyDescent="0.2">
      <c r="E14" s="196"/>
      <c r="H14" s="196"/>
      <c r="K14" s="196"/>
      <c r="N14" s="196"/>
      <c r="Q14" s="196"/>
      <c r="T14" s="173"/>
      <c r="W14" s="173"/>
      <c r="Z14" s="8"/>
      <c r="AC14" s="8"/>
      <c r="AF14" s="8"/>
      <c r="AI14" s="8"/>
      <c r="AL14" s="8"/>
      <c r="AN14" s="5"/>
      <c r="AO14" s="8"/>
      <c r="AP14" s="7"/>
      <c r="AQ14" s="5"/>
      <c r="AR14" s="8"/>
    </row>
    <row r="15" spans="1:44" ht="15.75" x14ac:dyDescent="0.25">
      <c r="A15" s="2" t="s">
        <v>22</v>
      </c>
      <c r="E15" s="196"/>
      <c r="H15" s="196"/>
      <c r="K15" s="196"/>
      <c r="N15" s="196"/>
      <c r="Q15" s="196"/>
      <c r="T15" s="173"/>
      <c r="W15" s="173"/>
      <c r="Z15" s="8"/>
      <c r="AC15" s="8"/>
      <c r="AF15" s="8"/>
      <c r="AI15" s="8"/>
      <c r="AL15" s="8"/>
      <c r="AN15" s="5"/>
      <c r="AO15" s="8"/>
      <c r="AP15" s="7"/>
      <c r="AQ15" s="5"/>
      <c r="AR15" s="8"/>
    </row>
    <row r="16" spans="1:44" ht="19.5" customHeight="1" x14ac:dyDescent="0.2">
      <c r="A16" s="11" t="s">
        <v>29</v>
      </c>
      <c r="E16" s="196"/>
      <c r="H16" s="196"/>
      <c r="K16" s="196"/>
      <c r="N16" s="196"/>
      <c r="Q16" s="196"/>
      <c r="T16" s="173"/>
      <c r="W16" s="173"/>
      <c r="Z16" s="8"/>
      <c r="AC16" s="8"/>
      <c r="AF16" s="8"/>
      <c r="AI16" s="8"/>
      <c r="AL16" s="8"/>
      <c r="AN16" s="5"/>
      <c r="AO16" s="8"/>
      <c r="AP16" s="7"/>
      <c r="AQ16" s="5"/>
      <c r="AR16" s="8"/>
    </row>
    <row r="17" spans="1:47" x14ac:dyDescent="0.2">
      <c r="A17" t="s">
        <v>28</v>
      </c>
      <c r="D17" s="219">
        <f>9938-9300</f>
        <v>638</v>
      </c>
      <c r="E17" s="196"/>
      <c r="G17" s="4">
        <v>4698.17</v>
      </c>
      <c r="H17" s="196"/>
      <c r="J17" s="4">
        <v>-2801.8299999999981</v>
      </c>
      <c r="K17" s="196"/>
      <c r="M17" s="5">
        <v>15676.860000000002</v>
      </c>
      <c r="N17" s="196"/>
      <c r="P17" s="5">
        <f>-'kolommenbalans 2018'!G46</f>
        <v>4676.8600000000024</v>
      </c>
      <c r="Q17" s="196"/>
      <c r="S17" s="5">
        <v>12645.189999999995</v>
      </c>
      <c r="T17" s="173"/>
      <c r="V17" s="5">
        <f>+'balans 2016'!D17</f>
        <v>4230.5700000000015</v>
      </c>
      <c r="W17" s="173"/>
      <c r="Y17" s="5">
        <f>-'balans 2015'!D17</f>
        <v>14848.090000000002</v>
      </c>
      <c r="Z17" s="8"/>
      <c r="AB17" s="5">
        <f>-'kolommenbalans 2014'!F29</f>
        <v>12794.26</v>
      </c>
      <c r="AC17" s="8"/>
      <c r="AE17" s="5">
        <v>11223.85</v>
      </c>
      <c r="AF17" s="8"/>
      <c r="AH17" s="5">
        <v>635.5</v>
      </c>
      <c r="AI17" s="8"/>
      <c r="AK17" s="5">
        <v>635.5</v>
      </c>
      <c r="AL17" s="8"/>
      <c r="AN17" s="5">
        <v>635.5</v>
      </c>
      <c r="AO17" s="8"/>
      <c r="AP17" s="7"/>
      <c r="AQ17" s="5">
        <v>635.5</v>
      </c>
      <c r="AR17" s="8"/>
    </row>
    <row r="18" spans="1:47" x14ac:dyDescent="0.2">
      <c r="A18" s="70" t="s">
        <v>428</v>
      </c>
      <c r="D18" s="220">
        <f>+'winst en verlies 2022'!E62</f>
        <v>9300</v>
      </c>
      <c r="E18" s="196"/>
      <c r="G18" s="193">
        <v>5160</v>
      </c>
      <c r="H18" s="196"/>
      <c r="J18" s="193">
        <v>9460</v>
      </c>
      <c r="K18" s="196"/>
      <c r="M18" s="5">
        <v>2420</v>
      </c>
      <c r="N18" s="196"/>
      <c r="P18" s="5">
        <f>-'kolommenbalans 2018'!H46</f>
        <v>17880</v>
      </c>
      <c r="Q18" s="196"/>
      <c r="S18" s="5">
        <v>10590</v>
      </c>
      <c r="T18" s="173"/>
      <c r="V18" s="5">
        <f>+'balans 2016'!D18</f>
        <v>15780.65</v>
      </c>
      <c r="W18" s="173"/>
      <c r="Y18" s="5">
        <f>-'balans 2015'!D18</f>
        <v>6752.3099999999995</v>
      </c>
      <c r="Z18" s="8"/>
      <c r="AB18" s="5">
        <f>-'kolommenbalans 2014'!G29</f>
        <v>6000</v>
      </c>
      <c r="AC18" s="8"/>
      <c r="AE18" s="5">
        <v>7500</v>
      </c>
      <c r="AF18" s="8"/>
      <c r="AH18" s="5">
        <v>1460</v>
      </c>
      <c r="AI18" s="8"/>
      <c r="AK18" s="5">
        <v>3130</v>
      </c>
      <c r="AL18" s="8"/>
      <c r="AN18" s="5">
        <v>0</v>
      </c>
      <c r="AO18" s="8"/>
      <c r="AP18" s="7"/>
      <c r="AQ18" s="5">
        <v>0</v>
      </c>
      <c r="AR18" s="8"/>
    </row>
    <row r="19" spans="1:47" ht="13.5" hidden="1" thickBot="1" x14ac:dyDescent="0.25">
      <c r="A19" t="s">
        <v>17</v>
      </c>
      <c r="D19" s="9"/>
      <c r="E19" s="196"/>
      <c r="G19" s="9"/>
      <c r="H19" s="196"/>
      <c r="J19" s="9"/>
      <c r="K19" s="196"/>
      <c r="M19" s="9"/>
      <c r="N19" s="196"/>
      <c r="P19" s="9">
        <v>0</v>
      </c>
      <c r="Q19" s="196"/>
      <c r="S19" s="9">
        <v>0</v>
      </c>
      <c r="T19" s="173"/>
      <c r="V19" s="9">
        <v>0</v>
      </c>
      <c r="W19" s="173"/>
      <c r="Y19" s="9">
        <v>0</v>
      </c>
      <c r="Z19" s="8"/>
      <c r="AB19" s="9">
        <v>0</v>
      </c>
      <c r="AC19" s="8"/>
      <c r="AE19" s="9">
        <v>0</v>
      </c>
      <c r="AF19" s="8"/>
      <c r="AH19" s="9">
        <v>7458.3500000000013</v>
      </c>
      <c r="AI19" s="8"/>
      <c r="AK19" s="9">
        <v>-41.450000000000728</v>
      </c>
      <c r="AL19" s="8"/>
      <c r="AN19" s="6">
        <v>2458.5500000000002</v>
      </c>
      <c r="AO19" s="8"/>
      <c r="AP19" s="7"/>
      <c r="AQ19" s="6">
        <v>0</v>
      </c>
      <c r="AR19" s="8"/>
    </row>
    <row r="20" spans="1:47" s="12" customFormat="1" ht="13.5" customHeight="1" x14ac:dyDescent="0.2">
      <c r="D20" s="68"/>
      <c r="E20" s="204">
        <f>+D18+D17</f>
        <v>9938</v>
      </c>
      <c r="G20" s="68"/>
      <c r="H20" s="204">
        <v>9858.17</v>
      </c>
      <c r="J20" s="68"/>
      <c r="K20" s="204">
        <v>6658.1700000000019</v>
      </c>
      <c r="M20" s="68"/>
      <c r="N20" s="196">
        <v>18096.86</v>
      </c>
      <c r="P20" s="68"/>
      <c r="Q20" s="196">
        <f>+P19+P17+P18</f>
        <v>22556.86</v>
      </c>
      <c r="S20" s="68"/>
      <c r="T20" s="192">
        <v>23235.189999999995</v>
      </c>
      <c r="V20" s="68"/>
      <c r="W20" s="192">
        <f>+V19+V17+V18</f>
        <v>20011.22</v>
      </c>
      <c r="Y20" s="68"/>
      <c r="Z20" s="49">
        <f>+Y19+Y17+Y18</f>
        <v>21600.400000000001</v>
      </c>
      <c r="AB20" s="68"/>
      <c r="AC20" s="49">
        <f>+AB19+AB17+AB18</f>
        <v>18794.260000000002</v>
      </c>
      <c r="AE20" s="68"/>
      <c r="AF20" s="49">
        <v>18723.849999999999</v>
      </c>
      <c r="AH20" s="68"/>
      <c r="AI20" s="49">
        <v>9553.8500000000022</v>
      </c>
      <c r="AK20" s="68"/>
      <c r="AL20" s="49">
        <v>3724.0499999999993</v>
      </c>
      <c r="AN20" s="13"/>
      <c r="AO20" s="49">
        <v>3094.05</v>
      </c>
      <c r="AP20" s="50"/>
      <c r="AQ20" s="50"/>
      <c r="AR20" s="49">
        <v>635.5</v>
      </c>
    </row>
    <row r="21" spans="1:47" s="12" customFormat="1" ht="13.5" thickBot="1" x14ac:dyDescent="0.25">
      <c r="A21" s="11" t="s">
        <v>30</v>
      </c>
      <c r="D21" s="68"/>
      <c r="E21" s="205">
        <v>0</v>
      </c>
      <c r="G21" s="68"/>
      <c r="H21" s="205">
        <v>0</v>
      </c>
      <c r="J21" s="68"/>
      <c r="K21" s="205">
        <v>0</v>
      </c>
      <c r="N21" s="194">
        <v>0</v>
      </c>
      <c r="Q21" s="194">
        <v>0</v>
      </c>
      <c r="T21" s="190">
        <v>0</v>
      </c>
      <c r="W21" s="190">
        <v>0</v>
      </c>
      <c r="Z21" s="16">
        <v>0</v>
      </c>
      <c r="AC21" s="16">
        <v>0</v>
      </c>
      <c r="AF21" s="16">
        <v>0</v>
      </c>
      <c r="AI21" s="16">
        <v>1677.0299999999997</v>
      </c>
      <c r="AL21" s="16">
        <v>6879</v>
      </c>
      <c r="AN21" s="13"/>
      <c r="AO21" s="51">
        <v>2993.0299999999997</v>
      </c>
      <c r="AP21" s="36"/>
      <c r="AQ21" s="13"/>
      <c r="AR21" s="17">
        <v>0</v>
      </c>
    </row>
    <row r="22" spans="1:47" s="20" customFormat="1" ht="19.5" customHeight="1" x14ac:dyDescent="0.2">
      <c r="C22" s="107" t="s">
        <v>740</v>
      </c>
      <c r="D22" s="165"/>
      <c r="E22" s="203">
        <f>+E13</f>
        <v>9938.3499999999913</v>
      </c>
      <c r="F22" s="107"/>
      <c r="G22" s="165"/>
      <c r="H22" s="203">
        <v>9858.17</v>
      </c>
      <c r="I22" s="107"/>
      <c r="J22" s="165"/>
      <c r="K22" s="203">
        <v>6658.1699999999928</v>
      </c>
      <c r="L22" s="107"/>
      <c r="M22" s="165"/>
      <c r="N22" s="199">
        <v>18096.86</v>
      </c>
      <c r="O22" s="107"/>
      <c r="P22" s="165"/>
      <c r="Q22" s="199">
        <f>+Q20</f>
        <v>22556.86</v>
      </c>
      <c r="R22" s="107"/>
      <c r="S22" s="165"/>
      <c r="T22" s="191">
        <v>23235.189999999995</v>
      </c>
      <c r="U22" s="107"/>
      <c r="V22" s="165"/>
      <c r="W22" s="191">
        <f>+W20</f>
        <v>20011.22</v>
      </c>
      <c r="X22" s="107"/>
      <c r="Y22" s="165"/>
      <c r="Z22" s="18">
        <f>+Z20</f>
        <v>21600.400000000001</v>
      </c>
      <c r="AA22" s="107"/>
      <c r="AB22" s="165"/>
      <c r="AC22" s="18">
        <f>+AC20+AC21</f>
        <v>18794.260000000002</v>
      </c>
      <c r="AD22" s="107"/>
      <c r="AE22" s="165"/>
      <c r="AF22" s="18">
        <v>18723.849999999999</v>
      </c>
      <c r="AG22" s="107"/>
      <c r="AH22" s="165"/>
      <c r="AI22" s="18">
        <v>11230.880000000001</v>
      </c>
      <c r="AJ22" s="107"/>
      <c r="AK22" s="165"/>
      <c r="AL22" s="18">
        <v>10603.05</v>
      </c>
      <c r="AM22" s="107"/>
      <c r="AN22" s="166"/>
      <c r="AO22" s="18">
        <v>6087.08</v>
      </c>
      <c r="AP22" s="37"/>
      <c r="AQ22" s="166"/>
      <c r="AR22" s="18">
        <v>635.5</v>
      </c>
    </row>
    <row r="23" spans="1:47" ht="19.5" customHeight="1" x14ac:dyDescent="0.2">
      <c r="E23" s="196"/>
      <c r="H23" s="196"/>
      <c r="K23" s="196"/>
      <c r="N23" s="199"/>
      <c r="Q23" s="199"/>
      <c r="T23" s="191"/>
      <c r="W23" s="191"/>
      <c r="Z23" s="18"/>
      <c r="AC23" s="18"/>
      <c r="AF23" s="18"/>
      <c r="AI23" s="18"/>
      <c r="AL23" s="18"/>
      <c r="AN23" s="5"/>
      <c r="AO23" s="18"/>
      <c r="AP23" s="37"/>
      <c r="AQ23" s="5"/>
      <c r="AR23" s="18"/>
    </row>
    <row r="24" spans="1:47" ht="8.25" customHeight="1" x14ac:dyDescent="0.2">
      <c r="E24" s="196"/>
      <c r="H24" s="196"/>
      <c r="K24" s="196"/>
      <c r="N24" s="199"/>
      <c r="Q24" s="199"/>
      <c r="T24" s="191"/>
      <c r="W24" s="191"/>
      <c r="Z24" s="18"/>
      <c r="AC24" s="18"/>
      <c r="AF24" s="18"/>
      <c r="AI24" s="18"/>
      <c r="AL24" s="18"/>
      <c r="AN24" s="5"/>
      <c r="AO24" s="18"/>
      <c r="AP24" s="37"/>
      <c r="AQ24" s="5"/>
      <c r="AR24" s="18"/>
    </row>
    <row r="25" spans="1:47" x14ac:dyDescent="0.2">
      <c r="AN25" s="5"/>
      <c r="AO25" s="7"/>
      <c r="AP25" s="7"/>
      <c r="AQ25" s="5"/>
      <c r="AR25" s="7"/>
    </row>
    <row r="26" spans="1:47" x14ac:dyDescent="0.2">
      <c r="N26" s="200"/>
      <c r="Q26" s="200"/>
      <c r="T26" s="52"/>
      <c r="W26" s="52"/>
      <c r="Z26" s="52"/>
      <c r="AC26" s="52"/>
      <c r="AF26" s="52"/>
      <c r="AI26" s="52"/>
      <c r="AL26" s="52"/>
    </row>
    <row r="27" spans="1:47" x14ac:dyDescent="0.2">
      <c r="A27" t="s">
        <v>31</v>
      </c>
      <c r="C27" s="147" t="s">
        <v>756</v>
      </c>
      <c r="F27" s="147"/>
      <c r="AO27" s="22"/>
      <c r="AP27" s="22"/>
      <c r="AR27" s="22"/>
    </row>
    <row r="28" spans="1:47" x14ac:dyDescent="0.2">
      <c r="A28" s="70" t="s">
        <v>470</v>
      </c>
      <c r="N28" s="200"/>
      <c r="AU28" s="12"/>
    </row>
    <row r="29" spans="1:47" x14ac:dyDescent="0.2">
      <c r="A29" t="s">
        <v>471</v>
      </c>
    </row>
  </sheetData>
  <mergeCells count="28">
    <mergeCell ref="AN3:AO3"/>
    <mergeCell ref="G3:H3"/>
    <mergeCell ref="J3:K3"/>
    <mergeCell ref="M3:N3"/>
    <mergeCell ref="P3:Q3"/>
    <mergeCell ref="S3:T3"/>
    <mergeCell ref="V3:W3"/>
    <mergeCell ref="Y3:Z3"/>
    <mergeCell ref="AB3:AC3"/>
    <mergeCell ref="AE3:AF3"/>
    <mergeCell ref="AH3:AI3"/>
    <mergeCell ref="AK3:AL3"/>
    <mergeCell ref="AH4:AI4"/>
    <mergeCell ref="AK4:AL4"/>
    <mergeCell ref="AN4:AO4"/>
    <mergeCell ref="AQ4:AR4"/>
    <mergeCell ref="D3:E3"/>
    <mergeCell ref="D4:E4"/>
    <mergeCell ref="AQ3:AR3"/>
    <mergeCell ref="G4:H4"/>
    <mergeCell ref="J4:K4"/>
    <mergeCell ref="M4:N4"/>
    <mergeCell ref="P4:Q4"/>
    <mergeCell ref="S4:T4"/>
    <mergeCell ref="V4:W4"/>
    <mergeCell ref="Y4:Z4"/>
    <mergeCell ref="AB4:AC4"/>
    <mergeCell ref="AE4:AF4"/>
  </mergeCells>
  <pageMargins left="0.74803149606299213" right="0.51181102362204722" top="0.98425196850393704" bottom="0.82677165354330717" header="0.51181102362204722" footer="0.51181102362204722"/>
  <pageSetup paperSize="9" scale="82" orientation="landscape" r:id="rId1"/>
  <headerFooter alignWithMargins="0">
    <oddFooter>&amp;L&amp;F, &amp;A&amp;R&amp;D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55A8-248D-4E6A-B23B-EBA7BEB976DD}">
  <sheetPr>
    <pageSetUpPr fitToPage="1"/>
  </sheetPr>
  <dimension ref="A1:AO62"/>
  <sheetViews>
    <sheetView topLeftCell="A19" zoomScale="101" zoomScaleNormal="100" workbookViewId="0">
      <selection activeCell="H29" sqref="H29"/>
    </sheetView>
  </sheetViews>
  <sheetFormatPr defaultColWidth="8.85546875" defaultRowHeight="12.75" x14ac:dyDescent="0.2"/>
  <cols>
    <col min="1" max="1" width="2.42578125" customWidth="1"/>
    <col min="2" max="2" width="6.85546875" customWidth="1"/>
    <col min="3" max="3" width="25.85546875" customWidth="1"/>
    <col min="4" max="4" width="10.28515625" style="32" bestFit="1" customWidth="1"/>
    <col min="5" max="5" width="9.7109375" style="4" customWidth="1"/>
    <col min="6" max="6" width="2.42578125" customWidth="1"/>
    <col min="7" max="7" width="10.28515625" style="32" bestFit="1" customWidth="1"/>
    <col min="8" max="8" width="9.7109375" style="4" customWidth="1"/>
    <col min="9" max="9" width="2.42578125" customWidth="1"/>
    <col min="10" max="10" width="10.140625" style="32" customWidth="1"/>
    <col min="11" max="11" width="10.28515625" style="4" customWidth="1"/>
    <col min="12" max="12" width="2.42578125" customWidth="1"/>
    <col min="13" max="13" width="10.140625" style="32" bestFit="1" customWidth="1"/>
    <col min="14" max="14" width="10.140625" bestFit="1" customWidth="1"/>
    <col min="15" max="15" width="2.42578125" customWidth="1"/>
    <col min="16" max="16" width="10.28515625" style="32" bestFit="1" customWidth="1"/>
    <col min="17" max="17" width="10.28515625" bestFit="1" customWidth="1"/>
    <col min="18" max="18" width="2.42578125" customWidth="1"/>
    <col min="19" max="19" width="10.28515625" style="32" bestFit="1" customWidth="1"/>
    <col min="20" max="20" width="10.28515625" bestFit="1" customWidth="1"/>
    <col min="21" max="21" width="2.42578125" customWidth="1"/>
    <col min="22" max="22" width="10.28515625" style="32" customWidth="1"/>
    <col min="24" max="24" width="2.42578125" customWidth="1"/>
    <col min="25" max="25" width="10.28515625" style="4" bestFit="1" customWidth="1"/>
    <col min="27" max="27" width="2.42578125" customWidth="1"/>
    <col min="29" max="29" width="10.28515625" bestFit="1" customWidth="1"/>
    <col min="30" max="30" width="2.42578125" customWidth="1"/>
    <col min="33" max="33" width="2.42578125" customWidth="1"/>
    <col min="34" max="34" width="9.140625" style="5" customWidth="1"/>
    <col min="36" max="36" width="2.42578125" customWidth="1"/>
    <col min="38" max="38" width="10.28515625" customWidth="1"/>
    <col min="39" max="39" width="2.42578125" customWidth="1"/>
    <col min="41" max="41" width="10.28515625" customWidth="1"/>
  </cols>
  <sheetData>
    <row r="1" spans="1:41" ht="20.25" x14ac:dyDescent="0.3">
      <c r="A1" s="10" t="s">
        <v>74</v>
      </c>
    </row>
    <row r="3" spans="1:41" x14ac:dyDescent="0.2">
      <c r="D3" s="235" t="s">
        <v>713</v>
      </c>
      <c r="E3" s="236"/>
      <c r="G3" s="235" t="s">
        <v>702</v>
      </c>
      <c r="H3" s="236"/>
      <c r="J3" s="235" t="s">
        <v>640</v>
      </c>
      <c r="K3" s="236"/>
      <c r="M3" s="249" t="s">
        <v>587</v>
      </c>
      <c r="N3" s="236"/>
      <c r="P3" s="249" t="s">
        <v>513</v>
      </c>
      <c r="Q3" s="236"/>
      <c r="R3" s="27"/>
      <c r="S3" s="249" t="s">
        <v>439</v>
      </c>
      <c r="T3" s="236"/>
      <c r="U3" s="27"/>
      <c r="V3" s="249" t="s">
        <v>369</v>
      </c>
      <c r="W3" s="236"/>
      <c r="X3" s="27"/>
      <c r="Y3" s="249" t="s">
        <v>343</v>
      </c>
      <c r="Z3" s="236"/>
      <c r="AA3" s="27"/>
      <c r="AB3" s="249" t="s">
        <v>290</v>
      </c>
      <c r="AC3" s="236"/>
      <c r="AD3" s="27"/>
      <c r="AE3" s="249" t="s">
        <v>244</v>
      </c>
      <c r="AF3" s="236"/>
      <c r="AG3" s="27"/>
      <c r="AH3" s="249" t="s">
        <v>230</v>
      </c>
      <c r="AI3" s="236"/>
      <c r="AK3" s="250" t="s">
        <v>368</v>
      </c>
      <c r="AL3" s="236"/>
      <c r="AN3" s="251" t="s">
        <v>75</v>
      </c>
      <c r="AO3" s="236"/>
    </row>
    <row r="4" spans="1:41" x14ac:dyDescent="0.2">
      <c r="D4" s="232" t="s">
        <v>73</v>
      </c>
      <c r="E4" s="231"/>
      <c r="G4" s="232" t="s">
        <v>73</v>
      </c>
      <c r="H4" s="231"/>
      <c r="J4" s="232" t="s">
        <v>73</v>
      </c>
      <c r="K4" s="231"/>
      <c r="M4" s="232" t="s">
        <v>73</v>
      </c>
      <c r="N4" s="231"/>
      <c r="P4" s="232" t="s">
        <v>73</v>
      </c>
      <c r="Q4" s="231"/>
      <c r="R4" s="28"/>
      <c r="S4" s="232" t="s">
        <v>73</v>
      </c>
      <c r="T4" s="231"/>
      <c r="U4" s="28"/>
      <c r="V4" s="232" t="s">
        <v>73</v>
      </c>
      <c r="W4" s="231"/>
      <c r="X4" s="28"/>
      <c r="Y4" s="232" t="s">
        <v>73</v>
      </c>
      <c r="Z4" s="231"/>
      <c r="AA4" s="28"/>
      <c r="AB4" s="232" t="s">
        <v>73</v>
      </c>
      <c r="AC4" s="231"/>
      <c r="AD4" s="28"/>
      <c r="AE4" s="232" t="s">
        <v>73</v>
      </c>
      <c r="AF4" s="231"/>
      <c r="AG4" s="28"/>
      <c r="AH4" s="232" t="s">
        <v>73</v>
      </c>
      <c r="AI4" s="231"/>
      <c r="AK4" s="232" t="s">
        <v>73</v>
      </c>
      <c r="AL4" s="231"/>
      <c r="AN4" s="232" t="s">
        <v>73</v>
      </c>
      <c r="AO4" s="231"/>
    </row>
    <row r="5" spans="1:41" ht="15.75" x14ac:dyDescent="0.25">
      <c r="A5" s="2" t="s">
        <v>0</v>
      </c>
      <c r="E5" s="8"/>
      <c r="G5" s="32">
        <v>7500</v>
      </c>
      <c r="H5" s="8"/>
      <c r="J5" s="44"/>
      <c r="K5" s="8"/>
      <c r="M5" s="44"/>
      <c r="N5" s="8"/>
      <c r="P5" s="44"/>
      <c r="Q5" s="8"/>
      <c r="R5" s="7"/>
      <c r="S5" s="44"/>
      <c r="T5" s="8"/>
      <c r="U5" s="7"/>
      <c r="V5" s="44"/>
      <c r="W5" s="8"/>
      <c r="X5" s="7"/>
      <c r="Y5" s="44"/>
      <c r="Z5" s="8"/>
      <c r="AA5" s="7"/>
      <c r="AB5" s="5"/>
      <c r="AC5" s="8"/>
      <c r="AD5" s="7"/>
      <c r="AE5" s="5"/>
      <c r="AF5" s="8"/>
      <c r="AG5" s="7"/>
      <c r="AI5" s="8"/>
      <c r="AK5" s="5"/>
      <c r="AL5" s="8"/>
      <c r="AN5" s="5"/>
      <c r="AO5" s="8"/>
    </row>
    <row r="6" spans="1:41" x14ac:dyDescent="0.2">
      <c r="A6" t="s">
        <v>11</v>
      </c>
      <c r="D6" s="32">
        <f>-'kolommenbalans 2022'!H35</f>
        <v>7500</v>
      </c>
      <c r="E6" s="8"/>
      <c r="H6" s="8"/>
      <c r="J6" s="32">
        <v>7500</v>
      </c>
      <c r="K6" s="8"/>
      <c r="M6" s="32">
        <f>+'winst en verlies 2019'!D6</f>
        <v>30965.32</v>
      </c>
      <c r="N6" s="8"/>
      <c r="P6" s="32">
        <f>'kolommenbalans 2018'!K44</f>
        <v>19796.57</v>
      </c>
      <c r="Q6" s="8"/>
      <c r="R6" s="7"/>
      <c r="S6" s="32">
        <v>20251.940000000002</v>
      </c>
      <c r="T6" s="8"/>
      <c r="U6" s="7"/>
      <c r="V6" s="32">
        <v>18100</v>
      </c>
      <c r="W6" s="8"/>
      <c r="X6" s="7"/>
      <c r="Y6" s="32">
        <v>21500</v>
      </c>
      <c r="Z6" s="8"/>
      <c r="AA6" s="7"/>
      <c r="AB6" s="4">
        <v>7500</v>
      </c>
      <c r="AC6" s="8"/>
      <c r="AD6" s="7"/>
      <c r="AF6" s="8"/>
      <c r="AG6" s="7"/>
      <c r="AH6"/>
      <c r="AI6" s="8"/>
      <c r="AK6" s="5">
        <v>7500</v>
      </c>
      <c r="AL6" s="8"/>
      <c r="AO6" s="8"/>
    </row>
    <row r="7" spans="1:41" x14ac:dyDescent="0.2">
      <c r="A7" t="s">
        <v>1</v>
      </c>
      <c r="E7" s="8"/>
      <c r="H7" s="8"/>
      <c r="J7" s="32">
        <v>0</v>
      </c>
      <c r="K7" s="8"/>
      <c r="M7" s="32">
        <v>0</v>
      </c>
      <c r="N7" s="8"/>
      <c r="P7" s="32">
        <v>0</v>
      </c>
      <c r="Q7" s="8"/>
      <c r="R7" s="7"/>
      <c r="S7" s="32">
        <v>0</v>
      </c>
      <c r="T7" s="8"/>
      <c r="U7" s="7"/>
      <c r="V7" s="32">
        <f>+'winst en verlies 2016'!G7</f>
        <v>0</v>
      </c>
      <c r="W7" s="8"/>
      <c r="X7" s="7"/>
      <c r="Y7" s="32">
        <v>0</v>
      </c>
      <c r="Z7" s="8"/>
      <c r="AA7" s="7"/>
      <c r="AB7" s="5">
        <v>0</v>
      </c>
      <c r="AC7" s="8"/>
      <c r="AD7" s="7"/>
      <c r="AE7" s="5">
        <v>0</v>
      </c>
      <c r="AF7" s="8"/>
      <c r="AG7" s="7"/>
      <c r="AH7" s="5">
        <v>0</v>
      </c>
      <c r="AI7" s="8"/>
      <c r="AK7" s="5">
        <v>0</v>
      </c>
      <c r="AL7" s="8"/>
      <c r="AN7" s="5">
        <v>0</v>
      </c>
      <c r="AO7" s="8"/>
    </row>
    <row r="8" spans="1:41" x14ac:dyDescent="0.2">
      <c r="A8" t="s">
        <v>2</v>
      </c>
      <c r="E8" s="8"/>
      <c r="G8" s="32">
        <v>168.00000000000003</v>
      </c>
      <c r="H8" s="8"/>
      <c r="J8" s="32">
        <v>0</v>
      </c>
      <c r="K8" s="8"/>
      <c r="M8" s="32">
        <v>0</v>
      </c>
      <c r="N8" s="8"/>
      <c r="P8" s="32">
        <v>0</v>
      </c>
      <c r="Q8" s="8"/>
      <c r="R8" s="7"/>
      <c r="S8" s="32">
        <v>0</v>
      </c>
      <c r="T8" s="8"/>
      <c r="U8" s="7"/>
      <c r="V8" s="32">
        <f>+'winst en verlies 2016'!G8</f>
        <v>0</v>
      </c>
      <c r="W8" s="8"/>
      <c r="X8" s="7"/>
      <c r="Y8" s="32">
        <v>0</v>
      </c>
      <c r="Z8" s="8"/>
      <c r="AA8" s="7"/>
      <c r="AB8" s="5">
        <v>0</v>
      </c>
      <c r="AC8" s="8"/>
      <c r="AD8" s="7"/>
      <c r="AE8" s="5">
        <v>7500</v>
      </c>
      <c r="AF8" s="8"/>
      <c r="AG8" s="7"/>
      <c r="AH8" s="5">
        <v>7500</v>
      </c>
      <c r="AI8" s="8"/>
      <c r="AK8" s="5"/>
      <c r="AL8" s="8"/>
      <c r="AN8" s="5">
        <v>7500</v>
      </c>
      <c r="AO8" s="8"/>
    </row>
    <row r="9" spans="1:41" x14ac:dyDescent="0.2">
      <c r="A9" s="70" t="s">
        <v>432</v>
      </c>
      <c r="D9" s="32">
        <f>+E45</f>
        <v>221.10999999999999</v>
      </c>
      <c r="E9" s="8"/>
      <c r="G9" s="32">
        <v>0</v>
      </c>
      <c r="H9" s="8"/>
      <c r="J9" s="32">
        <v>168.92999999999998</v>
      </c>
      <c r="K9" s="8"/>
      <c r="M9" s="32">
        <f>+'winst en verlies 2019'!D9</f>
        <v>253.60000000000002</v>
      </c>
      <c r="N9" s="8"/>
      <c r="P9" s="32">
        <f>-'kolommenbalans 2018'!N38</f>
        <v>119.92</v>
      </c>
      <c r="Q9" s="8"/>
      <c r="R9" s="7"/>
      <c r="S9" s="32">
        <v>173.56</v>
      </c>
      <c r="T9" s="8"/>
      <c r="U9" s="7"/>
      <c r="V9" s="32">
        <v>334.54</v>
      </c>
      <c r="W9" s="8"/>
      <c r="X9" s="7"/>
      <c r="Y9" s="32"/>
      <c r="Z9" s="8"/>
      <c r="AA9" s="7"/>
      <c r="AB9" s="5"/>
      <c r="AC9" s="8"/>
      <c r="AD9" s="7"/>
      <c r="AE9" s="5"/>
      <c r="AF9" s="8"/>
      <c r="AG9" s="7"/>
      <c r="AI9" s="8"/>
      <c r="AK9" s="5"/>
      <c r="AL9" s="8"/>
      <c r="AN9" s="5"/>
      <c r="AO9" s="8"/>
    </row>
    <row r="10" spans="1:41" ht="13.5" thickBot="1" x14ac:dyDescent="0.25">
      <c r="A10" s="70" t="s">
        <v>431</v>
      </c>
      <c r="D10" s="103"/>
      <c r="E10" s="8"/>
      <c r="G10" s="103">
        <v>0</v>
      </c>
      <c r="H10" s="8"/>
      <c r="J10" s="103">
        <v>0</v>
      </c>
      <c r="K10" s="8"/>
      <c r="M10" s="103">
        <f>'kolommenbalans 2018'!I44</f>
        <v>0</v>
      </c>
      <c r="N10" s="8"/>
      <c r="P10" s="103">
        <f>'kolommenbalans 2018'!L44</f>
        <v>3.67</v>
      </c>
      <c r="Q10" s="8"/>
      <c r="R10" s="7"/>
      <c r="S10" s="103">
        <v>14.62</v>
      </c>
      <c r="T10" s="8"/>
      <c r="U10" s="7"/>
      <c r="V10" s="103">
        <v>32.479999999999997</v>
      </c>
      <c r="W10" s="8"/>
      <c r="X10" s="7"/>
      <c r="Y10" s="103">
        <v>217.11</v>
      </c>
      <c r="Z10" s="8"/>
      <c r="AA10" s="7"/>
      <c r="AB10" s="6">
        <v>183</v>
      </c>
      <c r="AC10" s="8"/>
      <c r="AD10" s="7"/>
      <c r="AE10" s="6">
        <v>112</v>
      </c>
      <c r="AF10" s="8"/>
      <c r="AG10" s="7"/>
      <c r="AH10" s="6">
        <v>62</v>
      </c>
      <c r="AI10" s="8"/>
      <c r="AK10" s="6">
        <v>100</v>
      </c>
      <c r="AL10" s="8"/>
      <c r="AN10" s="6">
        <v>86.56</v>
      </c>
      <c r="AO10" s="8"/>
    </row>
    <row r="11" spans="1:41" ht="19.5" customHeight="1" x14ac:dyDescent="0.2">
      <c r="A11" s="3" t="s">
        <v>3</v>
      </c>
      <c r="D11" s="86"/>
      <c r="E11" s="8">
        <f>SUM(D6:D10)</f>
        <v>7721.11</v>
      </c>
      <c r="G11" s="86"/>
      <c r="H11" s="8">
        <v>7668</v>
      </c>
      <c r="J11" s="86"/>
      <c r="K11" s="8">
        <v>7668.93</v>
      </c>
      <c r="M11" s="86"/>
      <c r="N11" s="8">
        <f>SUM(M6:M10)</f>
        <v>31218.92</v>
      </c>
      <c r="P11" s="86"/>
      <c r="Q11" s="8">
        <f>SUM(P6:P10)</f>
        <v>19920.159999999996</v>
      </c>
      <c r="R11" s="7"/>
      <c r="S11" s="86"/>
      <c r="T11" s="8">
        <v>20440.120000000003</v>
      </c>
      <c r="U11" s="7"/>
      <c r="V11" s="86"/>
      <c r="W11" s="8">
        <f>SUM(V6:V10)</f>
        <v>18467.02</v>
      </c>
      <c r="X11" s="7"/>
      <c r="Y11" s="86"/>
      <c r="Z11" s="8">
        <v>21717.11</v>
      </c>
      <c r="AA11" s="7"/>
      <c r="AB11" s="7"/>
      <c r="AC11" s="8">
        <f>SUM(AB6:AB10)</f>
        <v>7683</v>
      </c>
      <c r="AD11" s="7"/>
      <c r="AE11" s="7"/>
      <c r="AF11" s="8">
        <f>SUM(AE7:AE10)</f>
        <v>7612</v>
      </c>
      <c r="AG11" s="7"/>
      <c r="AH11" s="7"/>
      <c r="AI11" s="8">
        <f>SUM(AH7:AH10)</f>
        <v>7562</v>
      </c>
      <c r="AK11" s="7"/>
      <c r="AL11" s="8">
        <f>SUM(AK6:AK10)</f>
        <v>7600</v>
      </c>
      <c r="AN11" s="7"/>
      <c r="AO11" s="8">
        <v>7586.56</v>
      </c>
    </row>
    <row r="12" spans="1:41" x14ac:dyDescent="0.2">
      <c r="E12" s="8"/>
      <c r="H12" s="8"/>
      <c r="J12" s="44"/>
      <c r="K12" s="8"/>
      <c r="M12" s="44"/>
      <c r="N12" s="8"/>
      <c r="P12" s="44"/>
      <c r="Q12" s="8"/>
      <c r="R12" s="7"/>
      <c r="S12" s="44"/>
      <c r="T12" s="8"/>
      <c r="U12" s="7"/>
      <c r="V12" s="44"/>
      <c r="W12" s="8"/>
      <c r="X12" s="7"/>
      <c r="Y12" s="44"/>
      <c r="Z12" s="8"/>
      <c r="AA12" s="7"/>
      <c r="AB12" s="5"/>
      <c r="AC12" s="8"/>
      <c r="AD12" s="7"/>
      <c r="AE12" s="5"/>
      <c r="AF12" s="8"/>
      <c r="AG12" s="7"/>
      <c r="AI12" s="8"/>
      <c r="AK12" s="5"/>
      <c r="AL12" s="8"/>
      <c r="AN12" s="5"/>
      <c r="AO12" s="8"/>
    </row>
    <row r="13" spans="1:41" x14ac:dyDescent="0.2">
      <c r="A13" t="s">
        <v>4</v>
      </c>
      <c r="D13" s="44">
        <v>0</v>
      </c>
      <c r="E13" s="8"/>
      <c r="G13" s="44">
        <v>0</v>
      </c>
      <c r="H13" s="8"/>
      <c r="J13" s="44">
        <v>0</v>
      </c>
      <c r="K13" s="8"/>
      <c r="M13" s="44">
        <v>0</v>
      </c>
      <c r="N13" s="8"/>
      <c r="P13" s="44">
        <v>0</v>
      </c>
      <c r="Q13" s="8"/>
      <c r="R13" s="7"/>
      <c r="S13" s="44">
        <v>0</v>
      </c>
      <c r="T13" s="8"/>
      <c r="U13" s="7"/>
      <c r="V13" s="44">
        <v>0</v>
      </c>
      <c r="W13" s="8"/>
      <c r="X13" s="7"/>
      <c r="Y13" s="44">
        <v>0</v>
      </c>
      <c r="Z13" s="8"/>
      <c r="AA13" s="7"/>
      <c r="AB13" s="5">
        <v>0</v>
      </c>
      <c r="AC13" s="8"/>
      <c r="AD13" s="7"/>
      <c r="AE13" s="5">
        <v>0</v>
      </c>
      <c r="AF13" s="8"/>
      <c r="AG13" s="7"/>
      <c r="AH13" s="5">
        <v>0</v>
      </c>
      <c r="AI13" s="8"/>
      <c r="AK13" s="5">
        <v>0</v>
      </c>
      <c r="AL13" s="8"/>
      <c r="AN13" s="5">
        <v>0</v>
      </c>
      <c r="AO13" s="8"/>
    </row>
    <row r="14" spans="1:41" ht="13.5" thickBot="1" x14ac:dyDescent="0.25">
      <c r="A14" t="s">
        <v>5</v>
      </c>
      <c r="D14" s="85">
        <v>0</v>
      </c>
      <c r="E14" s="8"/>
      <c r="G14" s="85">
        <v>0</v>
      </c>
      <c r="H14" s="8">
        <v>0</v>
      </c>
      <c r="J14" s="85">
        <v>0</v>
      </c>
      <c r="K14" s="8"/>
      <c r="M14" s="85">
        <v>0</v>
      </c>
      <c r="N14" s="8"/>
      <c r="P14" s="85">
        <v>0</v>
      </c>
      <c r="Q14" s="8"/>
      <c r="R14" s="7"/>
      <c r="S14" s="85">
        <v>0</v>
      </c>
      <c r="T14" s="8"/>
      <c r="U14" s="7"/>
      <c r="V14" s="85">
        <v>0</v>
      </c>
      <c r="W14" s="8"/>
      <c r="X14" s="7"/>
      <c r="Y14" s="85">
        <v>0</v>
      </c>
      <c r="Z14" s="8"/>
      <c r="AA14" s="7"/>
      <c r="AB14" s="6">
        <v>0</v>
      </c>
      <c r="AC14" s="8"/>
      <c r="AD14" s="7"/>
      <c r="AE14" s="6">
        <v>0</v>
      </c>
      <c r="AF14" s="8"/>
      <c r="AG14" s="7"/>
      <c r="AH14" s="6">
        <v>0</v>
      </c>
      <c r="AI14" s="8"/>
      <c r="AK14" s="6">
        <v>0</v>
      </c>
      <c r="AL14" s="8"/>
      <c r="AN14" s="6">
        <v>0</v>
      </c>
      <c r="AO14" s="8"/>
    </row>
    <row r="15" spans="1:41" ht="19.5" customHeight="1" x14ac:dyDescent="0.2">
      <c r="A15" s="3" t="s">
        <v>6</v>
      </c>
      <c r="E15" s="8">
        <f>-SUM(D13:D14)</f>
        <v>0</v>
      </c>
      <c r="H15" s="8">
        <v>0</v>
      </c>
      <c r="J15" s="86"/>
      <c r="K15" s="8">
        <v>0</v>
      </c>
      <c r="M15" s="86"/>
      <c r="N15" s="8">
        <f>-SUM(M13:M14)</f>
        <v>0</v>
      </c>
      <c r="P15" s="86"/>
      <c r="Q15" s="8">
        <f>-SUM(P13:P14)</f>
        <v>0</v>
      </c>
      <c r="R15" s="7"/>
      <c r="S15" s="86"/>
      <c r="T15" s="8">
        <v>0</v>
      </c>
      <c r="U15" s="7"/>
      <c r="V15" s="86"/>
      <c r="W15" s="8">
        <f>-SUM(V13:V14)</f>
        <v>0</v>
      </c>
      <c r="X15" s="7"/>
      <c r="Y15" s="86"/>
      <c r="Z15" s="8">
        <v>0</v>
      </c>
      <c r="AA15" s="7"/>
      <c r="AB15" s="7"/>
      <c r="AC15" s="8">
        <f>-SUM(AB13:AB14)</f>
        <v>0</v>
      </c>
      <c r="AD15" s="7"/>
      <c r="AE15" s="7"/>
      <c r="AF15" s="8">
        <f>-SUM(AE13:AE14)</f>
        <v>0</v>
      </c>
      <c r="AG15" s="7"/>
      <c r="AH15" s="7"/>
      <c r="AI15" s="8">
        <f>-SUM(AH13:AH14)</f>
        <v>0</v>
      </c>
      <c r="AK15" s="7"/>
      <c r="AL15" s="8">
        <f>-SUM(AK13:AK14)</f>
        <v>0</v>
      </c>
      <c r="AN15" s="7"/>
      <c r="AO15" s="8">
        <v>0</v>
      </c>
    </row>
    <row r="16" spans="1:41" ht="13.5" thickBot="1" x14ac:dyDescent="0.25">
      <c r="A16" t="s">
        <v>14</v>
      </c>
      <c r="E16" s="19">
        <f>+E15/E11</f>
        <v>0</v>
      </c>
      <c r="H16" s="19">
        <v>0</v>
      </c>
      <c r="J16" s="44"/>
      <c r="K16" s="19">
        <f>+K15/K11</f>
        <v>0</v>
      </c>
      <c r="M16" s="44"/>
      <c r="N16" s="19">
        <f>+N15/N11</f>
        <v>0</v>
      </c>
      <c r="P16" s="44"/>
      <c r="Q16" s="19">
        <f>+Q15/Q11</f>
        <v>0</v>
      </c>
      <c r="R16" s="26"/>
      <c r="S16" s="44"/>
      <c r="T16" s="19">
        <v>0</v>
      </c>
      <c r="U16" s="26"/>
      <c r="V16" s="44"/>
      <c r="W16" s="19">
        <f>+W15/W11</f>
        <v>0</v>
      </c>
      <c r="X16" s="26"/>
      <c r="Y16" s="44"/>
      <c r="Z16" s="19">
        <v>0</v>
      </c>
      <c r="AA16" s="26"/>
      <c r="AB16" s="5"/>
      <c r="AC16" s="19">
        <f>+AC15/AC11</f>
        <v>0</v>
      </c>
      <c r="AD16" s="26"/>
      <c r="AE16" s="5"/>
      <c r="AF16" s="19">
        <f>+AF15/AF11</f>
        <v>0</v>
      </c>
      <c r="AG16" s="26"/>
      <c r="AI16" s="19">
        <f>+AI15/AI11</f>
        <v>0</v>
      </c>
      <c r="AK16" s="5"/>
      <c r="AL16" s="19">
        <f>+AL15/AL11</f>
        <v>0</v>
      </c>
      <c r="AN16" s="5"/>
      <c r="AO16" s="19">
        <v>0</v>
      </c>
    </row>
    <row r="17" spans="1:41" ht="19.5" customHeight="1" x14ac:dyDescent="0.2">
      <c r="A17" s="3" t="s">
        <v>8</v>
      </c>
      <c r="E17" s="8">
        <f>+E11+E15</f>
        <v>7721.11</v>
      </c>
      <c r="H17" s="214">
        <v>7668</v>
      </c>
      <c r="J17" s="86"/>
      <c r="K17" s="8">
        <v>7668.93</v>
      </c>
      <c r="M17" s="86"/>
      <c r="N17" s="8">
        <f>+N11+N15</f>
        <v>31218.92</v>
      </c>
      <c r="P17" s="86"/>
      <c r="Q17" s="8">
        <f>+Q11+Q15</f>
        <v>19920.159999999996</v>
      </c>
      <c r="R17" s="7"/>
      <c r="S17" s="86"/>
      <c r="T17" s="8">
        <v>20440.120000000003</v>
      </c>
      <c r="U17" s="7"/>
      <c r="V17" s="86"/>
      <c r="W17" s="8">
        <f>+W11+W15</f>
        <v>18467.02</v>
      </c>
      <c r="X17" s="7"/>
      <c r="Y17" s="86"/>
      <c r="Z17" s="8">
        <v>21717.11</v>
      </c>
      <c r="AA17" s="7"/>
      <c r="AB17" s="7"/>
      <c r="AC17" s="8">
        <f>+AC11+AC15</f>
        <v>7683</v>
      </c>
      <c r="AD17" s="7"/>
      <c r="AE17" s="7"/>
      <c r="AF17" s="8">
        <f>+AF11+AF15</f>
        <v>7612</v>
      </c>
      <c r="AG17" s="7"/>
      <c r="AH17" s="7"/>
      <c r="AI17" s="8">
        <f>+AI11+AI15</f>
        <v>7562</v>
      </c>
      <c r="AK17" s="7"/>
      <c r="AL17" s="8">
        <f>+AL11+AL15</f>
        <v>7600</v>
      </c>
      <c r="AN17" s="7"/>
      <c r="AO17" s="8">
        <v>7586.56</v>
      </c>
    </row>
    <row r="18" spans="1:41" ht="13.5" thickBot="1" x14ac:dyDescent="0.25">
      <c r="A18" t="s">
        <v>7</v>
      </c>
      <c r="E18" s="16">
        <v>0</v>
      </c>
      <c r="H18" s="16"/>
      <c r="J18" s="44"/>
      <c r="K18" s="16">
        <v>0</v>
      </c>
      <c r="M18" s="44"/>
      <c r="N18" s="16">
        <v>0</v>
      </c>
      <c r="P18" s="44"/>
      <c r="Q18" s="16">
        <v>0</v>
      </c>
      <c r="R18" s="7"/>
      <c r="S18" s="44"/>
      <c r="T18" s="16">
        <v>0</v>
      </c>
      <c r="U18" s="7"/>
      <c r="V18" s="44"/>
      <c r="W18" s="16">
        <v>0</v>
      </c>
      <c r="X18" s="7"/>
      <c r="Y18" s="44"/>
      <c r="Z18" s="16">
        <v>0</v>
      </c>
      <c r="AA18" s="7"/>
      <c r="AB18" s="5"/>
      <c r="AC18" s="16">
        <v>0</v>
      </c>
      <c r="AD18" s="7"/>
      <c r="AE18" s="5"/>
      <c r="AF18" s="16">
        <v>0</v>
      </c>
      <c r="AG18" s="7"/>
      <c r="AI18" s="16">
        <v>0</v>
      </c>
      <c r="AK18" s="5"/>
      <c r="AL18" s="16">
        <v>0</v>
      </c>
      <c r="AN18" s="5"/>
      <c r="AO18" s="16">
        <v>0</v>
      </c>
    </row>
    <row r="19" spans="1:41" ht="19.5" customHeight="1" x14ac:dyDescent="0.2">
      <c r="A19" s="3" t="s">
        <v>9</v>
      </c>
      <c r="E19" s="8">
        <f>+E18+E17</f>
        <v>7721.11</v>
      </c>
      <c r="H19" s="8">
        <f>+H17</f>
        <v>7668</v>
      </c>
      <c r="J19" s="86"/>
      <c r="K19" s="8">
        <v>7668.93</v>
      </c>
      <c r="M19" s="86"/>
      <c r="N19" s="8">
        <f>+N18+N17</f>
        <v>31218.92</v>
      </c>
      <c r="P19" s="86"/>
      <c r="Q19" s="8">
        <f>+Q18+Q17</f>
        <v>19920.159999999996</v>
      </c>
      <c r="R19" s="7"/>
      <c r="S19" s="86"/>
      <c r="T19" s="8">
        <v>20440.120000000003</v>
      </c>
      <c r="U19" s="7"/>
      <c r="V19" s="86"/>
      <c r="W19" s="8">
        <f>+W18+W17</f>
        <v>18467.02</v>
      </c>
      <c r="X19" s="7"/>
      <c r="Y19" s="86"/>
      <c r="Z19" s="8">
        <v>21717.11</v>
      </c>
      <c r="AA19" s="7"/>
      <c r="AB19" s="7"/>
      <c r="AC19" s="8">
        <f>+AC18+AC17</f>
        <v>7683</v>
      </c>
      <c r="AD19" s="7"/>
      <c r="AE19" s="7"/>
      <c r="AF19" s="8">
        <f>+AF18+AF17</f>
        <v>7612</v>
      </c>
      <c r="AG19" s="7"/>
      <c r="AH19" s="7"/>
      <c r="AI19" s="8">
        <f>+AI18+AI17</f>
        <v>7562</v>
      </c>
      <c r="AK19" s="7"/>
      <c r="AL19" s="8">
        <f>+AL18+AL17</f>
        <v>7600</v>
      </c>
      <c r="AN19" s="7"/>
      <c r="AO19" s="8">
        <v>7586.56</v>
      </c>
    </row>
    <row r="20" spans="1:41" x14ac:dyDescent="0.2">
      <c r="E20" s="8"/>
      <c r="H20" s="8"/>
      <c r="J20" s="44"/>
      <c r="K20" s="8"/>
      <c r="M20" s="44"/>
      <c r="N20" s="8"/>
      <c r="P20" s="44"/>
      <c r="Q20" s="8"/>
      <c r="R20" s="7"/>
      <c r="S20" s="44"/>
      <c r="T20" s="8"/>
      <c r="U20" s="7"/>
      <c r="V20" s="44"/>
      <c r="W20" s="8"/>
      <c r="X20" s="7"/>
      <c r="Y20" s="44"/>
      <c r="Z20" s="8"/>
      <c r="AA20" s="7"/>
      <c r="AB20" s="5"/>
      <c r="AC20" s="8"/>
      <c r="AD20" s="7"/>
      <c r="AE20" s="5"/>
      <c r="AF20" s="8"/>
      <c r="AG20" s="7"/>
      <c r="AI20" s="8"/>
      <c r="AK20" s="5"/>
      <c r="AL20" s="8"/>
      <c r="AN20" s="5"/>
      <c r="AO20" s="8"/>
    </row>
    <row r="21" spans="1:41" ht="15.75" x14ac:dyDescent="0.25">
      <c r="A21" s="2" t="s">
        <v>10</v>
      </c>
      <c r="E21" s="8"/>
      <c r="G21" s="32">
        <v>0</v>
      </c>
      <c r="H21" s="8"/>
      <c r="J21" s="44"/>
      <c r="K21" s="8"/>
      <c r="M21" s="44"/>
      <c r="N21" s="8"/>
      <c r="P21" s="44"/>
      <c r="Q21" s="8"/>
      <c r="R21" s="7"/>
      <c r="S21" s="44"/>
      <c r="T21" s="8"/>
      <c r="U21" s="7"/>
      <c r="V21" s="44"/>
      <c r="W21" s="8"/>
      <c r="X21" s="7"/>
      <c r="Y21" s="44"/>
      <c r="Z21" s="8"/>
      <c r="AA21" s="7"/>
      <c r="AB21" s="5"/>
      <c r="AC21" s="8"/>
      <c r="AD21" s="7"/>
      <c r="AE21" s="5"/>
      <c r="AF21" s="8"/>
      <c r="AG21" s="7"/>
      <c r="AI21" s="8"/>
      <c r="AK21" s="5"/>
      <c r="AL21" s="8"/>
      <c r="AN21" s="5"/>
      <c r="AO21" s="8"/>
    </row>
    <row r="22" spans="1:41" x14ac:dyDescent="0.2">
      <c r="A22" s="70" t="s">
        <v>578</v>
      </c>
      <c r="D22" s="32">
        <f>6000</f>
        <v>6000</v>
      </c>
      <c r="E22" s="8"/>
      <c r="G22" s="32">
        <v>0</v>
      </c>
      <c r="H22" s="8"/>
      <c r="J22" s="32">
        <v>17500</v>
      </c>
      <c r="K22" s="8"/>
      <c r="M22" s="44">
        <v>0</v>
      </c>
      <c r="N22" s="8"/>
      <c r="P22" s="44">
        <f>+'kolommenbalans 2018'!O35</f>
        <v>12768.57</v>
      </c>
      <c r="Q22" s="8"/>
      <c r="R22" s="7"/>
      <c r="S22" s="44">
        <v>14851.94</v>
      </c>
      <c r="T22" s="8"/>
      <c r="U22" s="7"/>
      <c r="V22" s="44">
        <v>32271.66</v>
      </c>
      <c r="W22" s="8"/>
      <c r="X22" s="7"/>
      <c r="Y22" s="44">
        <v>12747.69</v>
      </c>
      <c r="Z22" s="8"/>
      <c r="AA22" s="7"/>
      <c r="AB22" s="5">
        <v>6000</v>
      </c>
      <c r="AC22" s="8"/>
      <c r="AD22" s="7"/>
      <c r="AE22" s="5">
        <v>0</v>
      </c>
      <c r="AF22" s="8"/>
      <c r="AG22" s="7"/>
      <c r="AH22" s="5">
        <v>0</v>
      </c>
      <c r="AI22" s="8"/>
      <c r="AK22" s="5">
        <v>7500</v>
      </c>
      <c r="AL22" s="8"/>
      <c r="AN22" s="5">
        <v>5053.45</v>
      </c>
      <c r="AO22" s="8"/>
    </row>
    <row r="23" spans="1:41" x14ac:dyDescent="0.2">
      <c r="A23" s="70" t="s">
        <v>580</v>
      </c>
      <c r="D23" s="44">
        <f>+'kolommenbalans 2022'!D68+'kolommenbalans 2022'!D69</f>
        <v>4500</v>
      </c>
      <c r="E23" s="8"/>
      <c r="G23" s="44">
        <v>0</v>
      </c>
      <c r="H23" s="8"/>
      <c r="J23" s="44">
        <v>8500</v>
      </c>
      <c r="K23" s="8"/>
      <c r="M23" s="44">
        <f>+'winst en verlies 2019'!D23</f>
        <v>500</v>
      </c>
      <c r="N23" s="8"/>
      <c r="P23" s="44">
        <f>-'kolommenbalans 2018'!H39</f>
        <v>15000</v>
      </c>
      <c r="Q23" s="8"/>
      <c r="R23" s="7"/>
      <c r="S23" s="44"/>
      <c r="T23" s="8"/>
      <c r="U23" s="7"/>
      <c r="V23" s="44"/>
      <c r="W23" s="8"/>
      <c r="X23" s="7"/>
      <c r="Y23" s="44"/>
      <c r="Z23" s="8"/>
      <c r="AA23" s="7"/>
      <c r="AB23" s="5"/>
      <c r="AC23" s="8"/>
      <c r="AD23" s="7"/>
      <c r="AE23" s="5"/>
      <c r="AF23" s="8"/>
      <c r="AG23" s="7"/>
      <c r="AI23" s="8"/>
      <c r="AK23" s="5"/>
      <c r="AL23" s="8"/>
      <c r="AN23" s="5"/>
      <c r="AO23" s="8"/>
    </row>
    <row r="24" spans="1:41" x14ac:dyDescent="0.2">
      <c r="A24" s="70" t="s">
        <v>579</v>
      </c>
      <c r="E24" s="8"/>
      <c r="G24" s="72">
        <v>0</v>
      </c>
      <c r="H24" s="8"/>
      <c r="J24" s="72"/>
      <c r="K24" s="8"/>
      <c r="M24" s="72">
        <f>+'winst en verlies 2019'!D24</f>
        <v>23465.32</v>
      </c>
      <c r="N24" s="8"/>
      <c r="P24" s="72"/>
      <c r="Q24" s="8"/>
      <c r="R24" s="7"/>
      <c r="S24" s="44">
        <v>-3000</v>
      </c>
      <c r="T24" s="8"/>
      <c r="U24" s="7"/>
      <c r="V24" s="44">
        <v>2500</v>
      </c>
      <c r="W24" s="8"/>
      <c r="X24" s="7"/>
      <c r="Y24" s="44">
        <v>5500</v>
      </c>
      <c r="Z24" s="8"/>
      <c r="AA24" s="7"/>
      <c r="AB24" s="5"/>
      <c r="AC24" s="8"/>
      <c r="AD24" s="7"/>
      <c r="AE24" s="5"/>
      <c r="AF24" s="8"/>
      <c r="AG24" s="7"/>
      <c r="AI24" s="8"/>
      <c r="AK24" s="5"/>
      <c r="AL24" s="8"/>
      <c r="AN24" s="5"/>
      <c r="AO24" s="8"/>
    </row>
    <row r="25" spans="1:41" hidden="1" x14ac:dyDescent="0.2">
      <c r="A25" s="99" t="s">
        <v>421</v>
      </c>
      <c r="D25" s="44">
        <v>0</v>
      </c>
      <c r="E25" s="8"/>
      <c r="H25" s="8"/>
      <c r="J25" s="44"/>
      <c r="K25" s="8"/>
      <c r="M25" s="44">
        <v>0</v>
      </c>
      <c r="N25" s="8"/>
      <c r="P25" s="44">
        <v>0</v>
      </c>
      <c r="Q25" s="8"/>
      <c r="R25" s="7"/>
      <c r="S25" s="44">
        <v>0</v>
      </c>
      <c r="T25" s="8"/>
      <c r="U25" s="7"/>
      <c r="V25" s="44">
        <v>1021.66</v>
      </c>
      <c r="W25" s="8"/>
      <c r="X25" s="7"/>
      <c r="Y25" s="44">
        <v>1252.31</v>
      </c>
      <c r="Z25" s="8"/>
      <c r="AA25" s="7"/>
      <c r="AB25" s="5"/>
      <c r="AC25" s="8"/>
      <c r="AD25" s="7"/>
      <c r="AE25" s="5"/>
      <c r="AF25" s="8"/>
      <c r="AG25" s="7"/>
      <c r="AI25" s="8"/>
      <c r="AK25" s="5"/>
      <c r="AL25" s="8"/>
      <c r="AN25" s="5"/>
      <c r="AO25" s="8"/>
    </row>
    <row r="26" spans="1:41" ht="13.5" thickBot="1" x14ac:dyDescent="0.25">
      <c r="A26" t="s">
        <v>5</v>
      </c>
      <c r="D26" s="85">
        <f>+E45</f>
        <v>221.10999999999999</v>
      </c>
      <c r="E26" s="8"/>
      <c r="G26" s="44">
        <v>-168.00000000000003</v>
      </c>
      <c r="H26" s="8">
        <v>-168.00000000000003</v>
      </c>
      <c r="J26" s="85">
        <v>168.92999999999998</v>
      </c>
      <c r="K26" s="8"/>
      <c r="M26" s="85">
        <f>+'winst en verlies 2019'!D26</f>
        <v>253.60000000000002</v>
      </c>
      <c r="N26" s="8"/>
      <c r="P26" s="85">
        <f>+'kolommenbalans concept'!N34</f>
        <v>119.92</v>
      </c>
      <c r="Q26" s="8"/>
      <c r="R26" s="7"/>
      <c r="S26" s="85">
        <v>173.56</v>
      </c>
      <c r="T26" s="8"/>
      <c r="U26" s="7"/>
      <c r="V26" s="85">
        <v>334.54</v>
      </c>
      <c r="W26" s="8"/>
      <c r="X26" s="7"/>
      <c r="Y26" s="85">
        <v>163.28</v>
      </c>
      <c r="Z26" s="8"/>
      <c r="AA26" s="7"/>
      <c r="AB26" s="6">
        <v>112</v>
      </c>
      <c r="AC26" s="8"/>
      <c r="AD26" s="7"/>
      <c r="AE26" s="6">
        <v>100</v>
      </c>
      <c r="AF26" s="8"/>
      <c r="AG26" s="7"/>
      <c r="AH26" s="9" t="s">
        <v>351</v>
      </c>
      <c r="AI26" s="8"/>
      <c r="AK26" s="6">
        <v>100</v>
      </c>
      <c r="AL26" s="8"/>
      <c r="AN26" s="6">
        <v>74.56</v>
      </c>
      <c r="AO26" s="8"/>
    </row>
    <row r="27" spans="1:41" ht="19.5" customHeight="1" x14ac:dyDescent="0.2">
      <c r="A27" s="3" t="s">
        <v>13</v>
      </c>
      <c r="D27" s="86"/>
      <c r="E27" s="8">
        <f>-SUM(D22:D26)</f>
        <v>-10721.11</v>
      </c>
      <c r="G27" s="86"/>
      <c r="H27" s="8"/>
      <c r="J27" s="86"/>
      <c r="K27" s="8">
        <v>26168.93</v>
      </c>
      <c r="M27" s="86"/>
      <c r="N27" s="8">
        <f>SUM(M21:M26)</f>
        <v>24218.92</v>
      </c>
      <c r="P27" s="86"/>
      <c r="Q27" s="8">
        <f>SUM(P21:P26)</f>
        <v>27888.489999999998</v>
      </c>
      <c r="R27" s="7"/>
      <c r="S27" s="86"/>
      <c r="T27" s="8">
        <v>12025.5</v>
      </c>
      <c r="U27" s="7"/>
      <c r="V27" s="86"/>
      <c r="W27" s="8">
        <f>SUM(V21:V26)</f>
        <v>36127.860000000008</v>
      </c>
      <c r="X27" s="7"/>
      <c r="Y27" s="86"/>
      <c r="Z27" s="8">
        <v>19663.280000000002</v>
      </c>
      <c r="AA27" s="7"/>
      <c r="AB27" s="7"/>
      <c r="AC27" s="8">
        <f>SUM(AB21:AB26)</f>
        <v>6112</v>
      </c>
      <c r="AD27" s="7"/>
      <c r="AE27" s="7"/>
      <c r="AF27" s="8">
        <f>SUM(AE21:AE26)</f>
        <v>100</v>
      </c>
      <c r="AG27" s="7"/>
      <c r="AH27" s="7"/>
      <c r="AI27" s="8">
        <f>SUM(AH21:AH26)</f>
        <v>0</v>
      </c>
      <c r="AK27" s="7"/>
      <c r="AL27" s="8">
        <f>+AK26+AK22</f>
        <v>7600</v>
      </c>
      <c r="AN27" s="7"/>
      <c r="AO27" s="8">
        <v>5128.01</v>
      </c>
    </row>
    <row r="28" spans="1:41" x14ac:dyDescent="0.2">
      <c r="D28" s="44"/>
      <c r="E28" s="8"/>
      <c r="G28" s="44"/>
      <c r="H28" s="8"/>
      <c r="J28" s="44"/>
      <c r="K28" s="8"/>
      <c r="M28" s="44"/>
      <c r="N28" s="8"/>
      <c r="P28" s="44"/>
      <c r="Q28" s="8"/>
      <c r="R28" s="7"/>
      <c r="S28" s="44"/>
      <c r="T28" s="8"/>
      <c r="U28" s="7"/>
      <c r="V28" s="44"/>
      <c r="W28" s="8"/>
      <c r="X28" s="7"/>
      <c r="Y28" s="44"/>
      <c r="Z28" s="8"/>
      <c r="AA28" s="7"/>
      <c r="AB28" s="5"/>
      <c r="AC28" s="8"/>
      <c r="AD28" s="7"/>
      <c r="AE28" s="5"/>
      <c r="AF28" s="8"/>
      <c r="AG28" s="7"/>
      <c r="AI28" s="8"/>
      <c r="AK28" s="5"/>
      <c r="AL28" s="8"/>
      <c r="AN28" s="5"/>
      <c r="AO28" s="8"/>
    </row>
    <row r="29" spans="1:41" ht="19.5" customHeight="1" x14ac:dyDescent="0.2">
      <c r="A29" s="1" t="s">
        <v>15</v>
      </c>
      <c r="D29" s="86"/>
      <c r="E29" s="8">
        <f>+E19+E27</f>
        <v>-3000.0000000000009</v>
      </c>
      <c r="G29" s="86"/>
      <c r="H29" s="8">
        <v>7500</v>
      </c>
      <c r="J29" s="86"/>
      <c r="K29" s="8">
        <v>-18500</v>
      </c>
      <c r="M29" s="86"/>
      <c r="N29" s="8">
        <f>+N19-N27</f>
        <v>7000</v>
      </c>
      <c r="P29" s="86"/>
      <c r="Q29" s="8">
        <f>+Q19-Q27</f>
        <v>-7968.3300000000017</v>
      </c>
      <c r="R29" s="7"/>
      <c r="S29" s="86"/>
      <c r="T29" s="8">
        <v>8414.6200000000026</v>
      </c>
      <c r="U29" s="7"/>
      <c r="V29" s="86"/>
      <c r="W29" s="8">
        <f>+W19-W27</f>
        <v>-17660.840000000007</v>
      </c>
      <c r="X29" s="7"/>
      <c r="Y29" s="86"/>
      <c r="Z29" s="8">
        <v>2053.8299999999981</v>
      </c>
      <c r="AA29" s="7"/>
      <c r="AB29" s="7"/>
      <c r="AC29" s="8">
        <f>+AC19-AC27</f>
        <v>1571</v>
      </c>
      <c r="AD29" s="7"/>
      <c r="AE29" s="7"/>
      <c r="AF29" s="8">
        <f>+AF19-AF27</f>
        <v>7512</v>
      </c>
      <c r="AG29" s="7"/>
      <c r="AH29" s="7"/>
      <c r="AI29" s="8">
        <f>+AI19-AI27</f>
        <v>7562</v>
      </c>
      <c r="AK29" s="7"/>
      <c r="AL29" s="8">
        <f>+AL19-AL27</f>
        <v>0</v>
      </c>
      <c r="AN29" s="7"/>
      <c r="AO29" s="8">
        <v>2458.5500000000002</v>
      </c>
    </row>
    <row r="30" spans="1:41" x14ac:dyDescent="0.2">
      <c r="J30" s="44"/>
      <c r="K30" s="7"/>
      <c r="M30" s="44"/>
      <c r="N30" s="7"/>
      <c r="P30" s="44"/>
      <c r="Q30" s="7"/>
      <c r="R30" s="7"/>
      <c r="S30" s="44"/>
      <c r="T30" s="7"/>
      <c r="U30" s="7"/>
      <c r="V30" s="44"/>
      <c r="W30" s="7"/>
      <c r="X30" s="7"/>
      <c r="Y30" s="44"/>
      <c r="Z30" s="7"/>
      <c r="AA30" s="7"/>
      <c r="AB30" s="5"/>
      <c r="AC30" s="7"/>
      <c r="AD30" s="7"/>
      <c r="AE30" s="5"/>
      <c r="AF30" s="7"/>
      <c r="AG30" s="7"/>
      <c r="AI30" s="7"/>
      <c r="AK30" s="5"/>
      <c r="AL30" s="7"/>
      <c r="AN30" s="5"/>
      <c r="AO30" s="7"/>
    </row>
    <row r="31" spans="1:41" x14ac:dyDescent="0.2">
      <c r="A31" s="20" t="s">
        <v>16</v>
      </c>
      <c r="G31" s="32">
        <v>0</v>
      </c>
      <c r="J31" s="44"/>
      <c r="K31" s="7"/>
      <c r="M31" s="44"/>
      <c r="N31" s="7"/>
      <c r="P31" s="44"/>
      <c r="Q31" s="7"/>
      <c r="R31" s="7"/>
      <c r="S31" s="44"/>
      <c r="T31" s="7"/>
      <c r="U31" s="7"/>
      <c r="V31" s="44"/>
      <c r="W31" s="7"/>
      <c r="X31" s="7"/>
      <c r="Y31" s="44"/>
      <c r="Z31" s="7"/>
      <c r="AA31" s="7"/>
      <c r="AB31" s="5"/>
      <c r="AC31" s="7"/>
      <c r="AD31" s="7"/>
      <c r="AE31" s="5"/>
      <c r="AF31" s="7"/>
      <c r="AG31" s="7"/>
      <c r="AI31" s="7"/>
      <c r="AK31" s="5"/>
      <c r="AL31" s="7"/>
      <c r="AN31" s="5"/>
      <c r="AO31" s="7"/>
    </row>
    <row r="32" spans="1:41" x14ac:dyDescent="0.2">
      <c r="A32" t="s">
        <v>17</v>
      </c>
      <c r="D32" s="44">
        <v>0</v>
      </c>
      <c r="E32" s="8"/>
      <c r="H32" s="8"/>
      <c r="J32" s="44">
        <v>0</v>
      </c>
      <c r="K32" s="8"/>
      <c r="M32" s="44">
        <v>0</v>
      </c>
      <c r="N32" s="8"/>
      <c r="P32" s="44">
        <v>0</v>
      </c>
      <c r="Q32" s="8"/>
      <c r="R32" s="7"/>
      <c r="S32" s="44">
        <v>0</v>
      </c>
      <c r="T32" s="8"/>
      <c r="U32" s="7"/>
      <c r="V32" s="44">
        <v>0</v>
      </c>
      <c r="W32" s="8"/>
      <c r="X32" s="7"/>
      <c r="Y32" s="44">
        <v>0</v>
      </c>
      <c r="Z32" s="8"/>
      <c r="AA32" s="7"/>
      <c r="AB32" s="5">
        <v>0</v>
      </c>
      <c r="AC32" s="8"/>
      <c r="AD32" s="7"/>
      <c r="AE32" s="5">
        <v>7500</v>
      </c>
      <c r="AF32" s="8"/>
      <c r="AG32" s="7"/>
      <c r="AH32" s="5">
        <v>7500</v>
      </c>
      <c r="AI32" s="8"/>
      <c r="AK32" s="5">
        <v>0</v>
      </c>
      <c r="AL32" s="8"/>
      <c r="AN32" s="5">
        <v>2458.5500000000002</v>
      </c>
      <c r="AO32" s="8"/>
    </row>
    <row r="33" spans="1:41" ht="13.5" thickBot="1" x14ac:dyDescent="0.25">
      <c r="A33" t="s">
        <v>28</v>
      </c>
      <c r="D33" s="85">
        <f>+E29</f>
        <v>-3000.0000000000009</v>
      </c>
      <c r="E33" s="8"/>
      <c r="G33" s="85">
        <v>-4698.17</v>
      </c>
      <c r="H33" s="8"/>
      <c r="J33" s="85">
        <v>-18500</v>
      </c>
      <c r="K33" s="8"/>
      <c r="M33" s="85">
        <f>+N29</f>
        <v>7000</v>
      </c>
      <c r="N33" s="8"/>
      <c r="P33" s="85">
        <f>+Q29</f>
        <v>-7968.3300000000017</v>
      </c>
      <c r="Q33" s="8"/>
      <c r="R33" s="7"/>
      <c r="S33" s="85">
        <v>8414.6200000000026</v>
      </c>
      <c r="T33" s="8"/>
      <c r="U33" s="7"/>
      <c r="V33" s="85">
        <v>17660.84</v>
      </c>
      <c r="W33" s="8"/>
      <c r="X33" s="7"/>
      <c r="Y33" s="85">
        <v>2053.8299999999981</v>
      </c>
      <c r="Z33" s="8"/>
      <c r="AA33" s="7"/>
      <c r="AB33" s="6">
        <v>1570</v>
      </c>
      <c r="AC33" s="8"/>
      <c r="AD33" s="7"/>
      <c r="AE33" s="6">
        <v>0</v>
      </c>
      <c r="AF33" s="8"/>
      <c r="AG33" s="7"/>
      <c r="AH33" s="6">
        <v>0</v>
      </c>
      <c r="AI33" s="8"/>
      <c r="AK33" s="6">
        <f>+AL29</f>
        <v>0</v>
      </c>
      <c r="AL33" s="8"/>
      <c r="AN33" s="9">
        <v>0</v>
      </c>
      <c r="AO33" s="8"/>
    </row>
    <row r="34" spans="1:41" ht="19.5" customHeight="1" x14ac:dyDescent="0.2">
      <c r="A34" s="3"/>
      <c r="D34" s="86"/>
      <c r="E34" s="8">
        <f>+D33</f>
        <v>-3000.0000000000009</v>
      </c>
      <c r="G34" s="86"/>
      <c r="H34" s="8">
        <v>-4698.17</v>
      </c>
      <c r="J34" s="86"/>
      <c r="K34" s="8">
        <v>-18500</v>
      </c>
      <c r="M34" s="86"/>
      <c r="N34" s="8">
        <f>+M32+M33</f>
        <v>7000</v>
      </c>
      <c r="P34" s="86"/>
      <c r="Q34" s="8">
        <f>+P32+P33</f>
        <v>-7968.3300000000017</v>
      </c>
      <c r="R34" s="7"/>
      <c r="S34" s="86"/>
      <c r="T34" s="8">
        <v>8414.6200000000026</v>
      </c>
      <c r="U34" s="7"/>
      <c r="V34" s="86"/>
      <c r="W34" s="8">
        <f>+V32+V33</f>
        <v>17660.84</v>
      </c>
      <c r="X34" s="7"/>
      <c r="Y34" s="86"/>
      <c r="Z34" s="8">
        <v>2053.8299999999981</v>
      </c>
      <c r="AA34" s="7"/>
      <c r="AB34" s="7"/>
      <c r="AC34" s="8">
        <f>+AB32+AB33</f>
        <v>1570</v>
      </c>
      <c r="AD34" s="7"/>
      <c r="AE34" s="7"/>
      <c r="AF34" s="8">
        <f>+AE32+AE33</f>
        <v>7500</v>
      </c>
      <c r="AG34" s="7"/>
      <c r="AH34" s="7"/>
      <c r="AI34" s="8">
        <f>+AH32+AH33</f>
        <v>7500</v>
      </c>
      <c r="AK34" s="7"/>
      <c r="AL34" s="8">
        <f>+AK33+AK32</f>
        <v>0</v>
      </c>
      <c r="AN34" s="7"/>
      <c r="AO34" s="8">
        <v>2458.5500000000002</v>
      </c>
    </row>
    <row r="35" spans="1:41" ht="19.5" customHeight="1" x14ac:dyDescent="0.2">
      <c r="A35" s="3"/>
      <c r="C35" s="47"/>
      <c r="D35" s="86"/>
      <c r="E35" s="8"/>
      <c r="F35" s="47"/>
      <c r="G35" s="86"/>
      <c r="H35" s="8"/>
      <c r="I35" s="47"/>
      <c r="J35" s="86"/>
      <c r="K35" s="8"/>
      <c r="L35" s="47"/>
      <c r="M35" s="86"/>
      <c r="N35" s="8"/>
      <c r="P35" s="86"/>
      <c r="Q35" s="8"/>
      <c r="R35" s="7"/>
      <c r="S35" s="86"/>
      <c r="T35" s="8"/>
      <c r="U35" s="7"/>
      <c r="V35" s="86"/>
      <c r="W35" s="8"/>
      <c r="X35" s="7"/>
      <c r="Y35" s="86"/>
      <c r="Z35" s="8"/>
      <c r="AA35" s="7"/>
      <c r="AB35" s="7"/>
      <c r="AC35" s="8"/>
      <c r="AD35" s="7"/>
      <c r="AE35" s="7"/>
      <c r="AF35" s="8"/>
      <c r="AG35" s="7"/>
      <c r="AH35" s="7"/>
      <c r="AI35" s="8"/>
      <c r="AK35" s="7"/>
      <c r="AL35" s="8"/>
      <c r="AN35" s="7"/>
      <c r="AO35" s="8"/>
    </row>
    <row r="36" spans="1:41" ht="19.5" customHeight="1" x14ac:dyDescent="0.2">
      <c r="A36" s="3"/>
      <c r="C36" s="112"/>
      <c r="F36" s="112"/>
      <c r="I36" s="112"/>
      <c r="L36" s="112"/>
      <c r="N36" s="47"/>
      <c r="R36" s="7"/>
      <c r="U36" s="7"/>
      <c r="X36" s="7"/>
      <c r="AA36" s="7"/>
      <c r="AD36" s="7"/>
      <c r="AG36" s="7"/>
      <c r="AH36" s="7"/>
      <c r="AI36" s="7"/>
    </row>
    <row r="37" spans="1:41" x14ac:dyDescent="0.2">
      <c r="A37" s="20" t="s">
        <v>43</v>
      </c>
      <c r="AE37" s="114"/>
    </row>
    <row r="38" spans="1:41" x14ac:dyDescent="0.2">
      <c r="A38" t="s">
        <v>47</v>
      </c>
      <c r="M38" s="95"/>
      <c r="P38" s="95"/>
      <c r="S38" s="95"/>
      <c r="V38" s="95"/>
      <c r="Y38" s="96"/>
      <c r="AC38" s="113"/>
    </row>
    <row r="39" spans="1:41" x14ac:dyDescent="0.2">
      <c r="A39" s="76"/>
      <c r="B39" s="147" t="s">
        <v>725</v>
      </c>
      <c r="C39" s="76"/>
      <c r="D39" s="87"/>
      <c r="E39" s="88"/>
      <c r="F39" s="76"/>
      <c r="G39" s="87"/>
      <c r="H39" s="88"/>
      <c r="I39" s="76"/>
      <c r="J39" s="87"/>
      <c r="K39" s="88"/>
      <c r="L39" s="76"/>
      <c r="M39" s="87"/>
      <c r="N39" s="76"/>
      <c r="O39" s="76"/>
      <c r="P39" s="87"/>
      <c r="Q39" s="76"/>
      <c r="R39" s="76"/>
      <c r="S39" s="87"/>
      <c r="T39" s="76"/>
      <c r="U39" s="76"/>
      <c r="V39" s="87"/>
      <c r="W39" s="76"/>
      <c r="X39" s="76"/>
      <c r="Y39" s="88"/>
      <c r="Z39" s="76"/>
      <c r="AA39" s="76"/>
      <c r="AB39" s="76"/>
      <c r="AC39" s="113"/>
      <c r="AF39" s="76"/>
      <c r="AG39" s="76"/>
    </row>
    <row r="40" spans="1:41" x14ac:dyDescent="0.2">
      <c r="A40" s="76"/>
      <c r="C40" s="76"/>
      <c r="D40" s="87"/>
      <c r="E40" s="88"/>
      <c r="F40" s="76"/>
      <c r="G40" s="87"/>
      <c r="H40" s="88"/>
      <c r="I40" s="76"/>
      <c r="J40" s="87"/>
      <c r="K40" s="88"/>
      <c r="L40" s="76"/>
      <c r="M40" s="87"/>
      <c r="N40" s="76"/>
      <c r="O40" s="76"/>
      <c r="P40" s="87"/>
      <c r="Q40" s="76"/>
      <c r="R40" s="76"/>
      <c r="S40" s="87"/>
      <c r="T40" s="76"/>
      <c r="U40" s="76"/>
      <c r="V40" s="87"/>
      <c r="W40" s="76"/>
      <c r="X40" s="76"/>
      <c r="Y40" s="88"/>
      <c r="Z40" s="76"/>
      <c r="AA40" s="76"/>
      <c r="AB40" s="76"/>
      <c r="AC40" s="113"/>
      <c r="AF40" s="76"/>
      <c r="AG40" s="76"/>
    </row>
    <row r="41" spans="1:41" x14ac:dyDescent="0.2">
      <c r="A41" s="70" t="s">
        <v>414</v>
      </c>
      <c r="B41" s="76"/>
      <c r="C41" s="76"/>
      <c r="D41" s="87"/>
      <c r="E41" s="88"/>
      <c r="F41" s="76"/>
      <c r="G41" s="87"/>
      <c r="H41" s="88"/>
      <c r="I41" s="76"/>
      <c r="J41" s="87"/>
      <c r="K41" s="88"/>
      <c r="L41" s="76"/>
      <c r="M41" s="87"/>
      <c r="N41" s="76"/>
      <c r="O41" s="76"/>
      <c r="P41" s="87"/>
      <c r="Q41" s="76"/>
      <c r="R41" s="76"/>
      <c r="S41" s="87"/>
      <c r="T41" s="76"/>
      <c r="U41" s="76"/>
      <c r="V41" s="87"/>
      <c r="W41" s="76"/>
      <c r="X41" s="76"/>
      <c r="Y41" s="88"/>
      <c r="Z41" s="76"/>
      <c r="AA41" s="76"/>
      <c r="AB41" s="76"/>
      <c r="AC41" s="113"/>
      <c r="AF41" s="76"/>
      <c r="AG41" s="76"/>
    </row>
    <row r="42" spans="1:41" x14ac:dyDescent="0.2">
      <c r="B42" s="70" t="s">
        <v>107</v>
      </c>
      <c r="C42" s="76"/>
      <c r="D42" s="87"/>
      <c r="E42" s="88"/>
      <c r="F42" s="76"/>
      <c r="G42" s="87"/>
      <c r="H42" s="88"/>
      <c r="I42" s="76"/>
      <c r="J42" s="87"/>
      <c r="K42" s="72"/>
      <c r="L42" s="76"/>
      <c r="M42" s="87"/>
      <c r="N42" s="76"/>
      <c r="O42" s="76"/>
      <c r="P42" s="87"/>
      <c r="Q42" s="76"/>
      <c r="R42" s="76"/>
      <c r="S42" s="87"/>
      <c r="T42" s="76"/>
      <c r="U42" s="76"/>
      <c r="V42" s="87"/>
      <c r="W42" s="76"/>
      <c r="X42" s="76"/>
      <c r="Y42" s="88"/>
      <c r="Z42" s="76"/>
      <c r="AA42" s="76"/>
      <c r="AB42" s="76"/>
      <c r="AC42" s="76"/>
      <c r="AD42" s="76"/>
      <c r="AE42" s="114"/>
      <c r="AF42" s="76"/>
      <c r="AG42" s="76"/>
    </row>
    <row r="43" spans="1:41" x14ac:dyDescent="0.2">
      <c r="A43" s="76"/>
      <c r="B43" s="101" t="s">
        <v>726</v>
      </c>
      <c r="C43" s="76"/>
      <c r="D43" s="87"/>
      <c r="E43" s="151">
        <f>+'kolommenbalans 2022'!K35</f>
        <v>161.29</v>
      </c>
      <c r="F43" s="76"/>
      <c r="H43" s="88"/>
      <c r="I43" s="76"/>
      <c r="J43" s="87"/>
      <c r="L43" s="76"/>
      <c r="M43" s="72">
        <f>-'kolommenbalans 2018'!K38</f>
        <v>0</v>
      </c>
      <c r="O43" s="76"/>
      <c r="Q43" s="76"/>
      <c r="R43" s="76"/>
      <c r="T43" s="76"/>
      <c r="U43" s="76"/>
      <c r="V43" s="87"/>
      <c r="W43" s="76"/>
      <c r="X43" s="76"/>
      <c r="Y43" s="88"/>
      <c r="Z43" s="76"/>
      <c r="AA43" s="76"/>
      <c r="AB43" s="76"/>
      <c r="AC43" s="76"/>
      <c r="AD43" s="76"/>
      <c r="AE43" s="76"/>
      <c r="AF43" s="76"/>
      <c r="AG43" s="76"/>
    </row>
    <row r="44" spans="1:41" ht="23.25" customHeight="1" x14ac:dyDescent="0.2">
      <c r="A44" s="76"/>
      <c r="B44" s="253" t="s">
        <v>724</v>
      </c>
      <c r="C44" s="253"/>
      <c r="D44" s="253"/>
      <c r="E44" s="215">
        <f>-'kolommenbalans 2022'!D38</f>
        <v>59.82</v>
      </c>
      <c r="F44" s="76"/>
      <c r="H44" s="88"/>
      <c r="I44" s="76"/>
      <c r="J44" s="87"/>
      <c r="L44" s="76"/>
      <c r="M44" s="72"/>
      <c r="O44" s="76"/>
      <c r="Q44" s="76"/>
      <c r="R44" s="76"/>
      <c r="T44" s="76"/>
      <c r="U44" s="76"/>
      <c r="V44" s="87"/>
      <c r="W44" s="76"/>
      <c r="X44" s="76"/>
      <c r="Y44" s="88"/>
      <c r="Z44" s="76"/>
      <c r="AA44" s="76"/>
      <c r="AB44" s="76"/>
      <c r="AC44" s="76"/>
      <c r="AD44" s="76"/>
      <c r="AE44" s="76"/>
      <c r="AF44" s="76"/>
      <c r="AG44" s="76"/>
    </row>
    <row r="45" spans="1:41" x14ac:dyDescent="0.2">
      <c r="A45" s="76"/>
      <c r="B45" s="70"/>
      <c r="C45" s="76"/>
      <c r="D45" s="87"/>
      <c r="E45" s="146">
        <f>+E44+E43</f>
        <v>221.10999999999999</v>
      </c>
      <c r="F45" s="76"/>
      <c r="H45" s="88"/>
      <c r="I45" s="76"/>
      <c r="J45" s="87"/>
      <c r="K45" s="88"/>
      <c r="L45" s="76"/>
      <c r="M45" s="72"/>
      <c r="O45" s="76"/>
      <c r="P45" s="72"/>
      <c r="Q45" s="76"/>
      <c r="R45" s="76"/>
      <c r="T45" s="76"/>
      <c r="U45" s="76"/>
      <c r="V45" s="87"/>
      <c r="W45" s="76"/>
      <c r="X45" s="76"/>
      <c r="Y45" s="88"/>
      <c r="Z45" s="76"/>
      <c r="AA45" s="76"/>
      <c r="AB45" s="76"/>
      <c r="AC45" s="76"/>
      <c r="AD45" s="76"/>
      <c r="AE45" s="76"/>
      <c r="AF45" s="76"/>
      <c r="AG45" s="76"/>
    </row>
    <row r="46" spans="1:41" x14ac:dyDescent="0.2">
      <c r="A46" s="76"/>
      <c r="B46" s="70"/>
      <c r="C46" s="76"/>
      <c r="D46" s="87"/>
      <c r="E46" s="88"/>
      <c r="F46" s="76"/>
      <c r="G46" s="87"/>
      <c r="H46" s="88"/>
      <c r="I46" s="76"/>
      <c r="J46" s="87"/>
      <c r="K46" s="88"/>
      <c r="L46" s="76"/>
      <c r="M46" s="72"/>
      <c r="N46" s="79"/>
      <c r="O46" s="76"/>
      <c r="P46" s="72"/>
      <c r="Q46" s="76"/>
      <c r="R46" s="76"/>
      <c r="T46" s="76"/>
      <c r="U46" s="76"/>
      <c r="V46" s="87"/>
      <c r="W46" s="76"/>
      <c r="X46" s="76"/>
      <c r="Y46" s="88"/>
      <c r="Z46" s="76"/>
      <c r="AA46" s="76"/>
      <c r="AB46" s="76"/>
      <c r="AC46" s="76"/>
      <c r="AD46" s="76"/>
      <c r="AE46" s="76"/>
      <c r="AF46" s="76"/>
      <c r="AG46" s="76"/>
    </row>
    <row r="47" spans="1:41" x14ac:dyDescent="0.2">
      <c r="A47" s="70" t="s">
        <v>46</v>
      </c>
      <c r="B47" s="76"/>
      <c r="C47" s="76"/>
      <c r="D47" s="87"/>
      <c r="E47" s="88"/>
      <c r="F47" s="76"/>
      <c r="G47" s="87"/>
      <c r="H47" s="88"/>
      <c r="I47" s="76"/>
      <c r="J47" s="87"/>
      <c r="K47" s="88"/>
      <c r="L47" s="76"/>
      <c r="M47" s="87"/>
      <c r="N47" s="76"/>
      <c r="O47" s="76"/>
      <c r="P47" s="87"/>
      <c r="Q47" s="76"/>
      <c r="R47" s="76"/>
      <c r="S47" s="87"/>
      <c r="T47" s="76"/>
      <c r="U47" s="76"/>
      <c r="V47" s="87"/>
      <c r="W47" s="76"/>
      <c r="X47" s="76"/>
      <c r="Y47" s="88"/>
      <c r="Z47" s="76"/>
      <c r="AA47" s="76"/>
      <c r="AB47" s="76"/>
      <c r="AC47" s="76"/>
      <c r="AD47" s="76"/>
      <c r="AE47" s="76"/>
      <c r="AF47" s="76"/>
      <c r="AG47" s="76"/>
    </row>
    <row r="48" spans="1:41" ht="38.25" customHeight="1" x14ac:dyDescent="0.2">
      <c r="B48" s="237" t="s">
        <v>737</v>
      </c>
      <c r="C48" s="238"/>
      <c r="D48" s="238"/>
      <c r="E48" s="238"/>
      <c r="F48" s="238"/>
      <c r="G48" s="238"/>
      <c r="H48" s="238"/>
      <c r="I48" s="238"/>
      <c r="J48" s="238"/>
      <c r="K48" s="238"/>
      <c r="L48" s="238"/>
      <c r="M48" s="238"/>
      <c r="N48" s="238"/>
      <c r="O48" s="238"/>
      <c r="P48" s="238"/>
      <c r="Q48" s="238"/>
      <c r="R48" s="98"/>
      <c r="S48" s="98"/>
      <c r="T48" s="98"/>
      <c r="U48" s="76"/>
      <c r="V48" s="87"/>
      <c r="W48" s="76"/>
      <c r="X48" s="76"/>
      <c r="Y48" s="88"/>
      <c r="Z48" s="76"/>
      <c r="AA48" s="76"/>
      <c r="AB48" s="76"/>
      <c r="AC48" s="76"/>
      <c r="AD48" s="76"/>
      <c r="AE48" s="76"/>
      <c r="AF48" s="76"/>
      <c r="AG48" s="76"/>
      <c r="AK48" s="5"/>
      <c r="AL48" s="44"/>
      <c r="AN48" s="5"/>
      <c r="AO48" s="44"/>
    </row>
    <row r="49" spans="1:41" ht="28.5" customHeight="1" x14ac:dyDescent="0.2">
      <c r="B49" s="237" t="s">
        <v>738</v>
      </c>
      <c r="C49" s="238"/>
      <c r="D49" s="238"/>
      <c r="E49" s="238"/>
      <c r="F49" s="238"/>
      <c r="G49" s="238"/>
      <c r="H49" s="238"/>
      <c r="I49" s="238"/>
      <c r="J49" s="238"/>
      <c r="K49" s="238"/>
      <c r="L49" s="238"/>
      <c r="M49" s="238"/>
      <c r="N49" s="238"/>
      <c r="O49" s="238"/>
      <c r="P49" s="238"/>
      <c r="Q49" s="238"/>
      <c r="R49" s="98"/>
      <c r="S49" s="98"/>
      <c r="T49" s="98"/>
      <c r="U49" s="76"/>
      <c r="V49" s="87"/>
      <c r="W49" s="76"/>
      <c r="X49" s="76"/>
      <c r="Y49" s="88"/>
      <c r="Z49" s="76"/>
      <c r="AA49" s="76"/>
      <c r="AB49" s="76"/>
      <c r="AC49" s="76"/>
      <c r="AD49" s="76"/>
      <c r="AE49" s="76"/>
      <c r="AF49" s="76"/>
      <c r="AG49" s="76"/>
      <c r="AK49" s="5"/>
      <c r="AL49" s="44"/>
      <c r="AN49" s="5"/>
      <c r="AO49" s="44"/>
    </row>
    <row r="50" spans="1:41" ht="38.25" customHeight="1" x14ac:dyDescent="0.2">
      <c r="B50" s="237" t="s">
        <v>743</v>
      </c>
      <c r="C50" s="238"/>
      <c r="D50" s="238"/>
      <c r="E50" s="238"/>
      <c r="F50" s="238"/>
      <c r="G50" s="238"/>
      <c r="H50" s="238"/>
      <c r="I50" s="238"/>
      <c r="J50" s="238"/>
      <c r="K50" s="238"/>
      <c r="L50" s="238"/>
      <c r="M50" s="238"/>
      <c r="N50" s="238"/>
      <c r="O50" s="238"/>
      <c r="P50" s="238"/>
      <c r="Q50" s="238"/>
      <c r="R50" s="98"/>
      <c r="S50" s="98"/>
      <c r="T50" s="98"/>
      <c r="U50" s="76"/>
      <c r="V50" s="87"/>
      <c r="W50" s="76"/>
      <c r="X50" s="76"/>
      <c r="Y50" s="88"/>
      <c r="Z50" s="76"/>
      <c r="AA50" s="76"/>
      <c r="AB50" s="76"/>
      <c r="AC50" s="76"/>
      <c r="AD50" s="76"/>
      <c r="AE50" s="76"/>
      <c r="AF50" s="76"/>
      <c r="AG50" s="76"/>
      <c r="AK50" s="5"/>
      <c r="AL50" s="44"/>
      <c r="AN50" s="5"/>
      <c r="AO50" s="44"/>
    </row>
    <row r="52" spans="1:41" x14ac:dyDescent="0.2">
      <c r="A52" s="147" t="s">
        <v>746</v>
      </c>
    </row>
    <row r="53" spans="1:41" x14ac:dyDescent="0.2">
      <c r="A53" s="147"/>
      <c r="C53" s="29" t="s">
        <v>747</v>
      </c>
      <c r="E53" s="4">
        <f>+'kolommenbalans 2022'!E5</f>
        <v>-4698.17</v>
      </c>
    </row>
    <row r="54" spans="1:41" x14ac:dyDescent="0.2">
      <c r="C54" s="148" t="s">
        <v>744</v>
      </c>
      <c r="D54" s="162"/>
      <c r="E54" s="164">
        <f>-E29</f>
        <v>3000.0000000000009</v>
      </c>
      <c r="F54" s="148"/>
      <c r="H54" s="206"/>
      <c r="I54" s="148"/>
    </row>
    <row r="55" spans="1:41" x14ac:dyDescent="0.2">
      <c r="C55" s="148" t="s">
        <v>745</v>
      </c>
      <c r="D55" s="146"/>
      <c r="E55" s="4">
        <v>-698</v>
      </c>
      <c r="F55" s="148"/>
      <c r="H55" s="208"/>
      <c r="I55" s="147"/>
      <c r="N55" s="47"/>
    </row>
    <row r="57" spans="1:41" x14ac:dyDescent="0.2">
      <c r="A57" t="s">
        <v>749</v>
      </c>
    </row>
    <row r="58" spans="1:41" x14ac:dyDescent="0.2">
      <c r="C58" s="148" t="s">
        <v>750</v>
      </c>
    </row>
    <row r="59" spans="1:41" x14ac:dyDescent="0.2">
      <c r="C59" s="148" t="s">
        <v>751</v>
      </c>
      <c r="E59" s="4">
        <v>4800</v>
      </c>
    </row>
    <row r="60" spans="1:41" x14ac:dyDescent="0.2">
      <c r="C60" s="148" t="s">
        <v>752</v>
      </c>
      <c r="E60" s="4">
        <v>3000</v>
      </c>
    </row>
    <row r="61" spans="1:41" x14ac:dyDescent="0.2">
      <c r="C61" s="148" t="s">
        <v>723</v>
      </c>
      <c r="E61" s="164">
        <v>1500</v>
      </c>
    </row>
    <row r="62" spans="1:41" x14ac:dyDescent="0.2">
      <c r="E62" s="4">
        <f>SUM(E59:E61)</f>
        <v>9300</v>
      </c>
    </row>
  </sheetData>
  <mergeCells count="30">
    <mergeCell ref="AH3:AI3"/>
    <mergeCell ref="AK3:AL3"/>
    <mergeCell ref="AN3:AO3"/>
    <mergeCell ref="G3:H3"/>
    <mergeCell ref="J3:K3"/>
    <mergeCell ref="M3:N3"/>
    <mergeCell ref="P3:Q3"/>
    <mergeCell ref="S3:T3"/>
    <mergeCell ref="V3:W3"/>
    <mergeCell ref="Y3:Z3"/>
    <mergeCell ref="AB3:AC3"/>
    <mergeCell ref="AE3:AF3"/>
    <mergeCell ref="AH4:AI4"/>
    <mergeCell ref="AK4:AL4"/>
    <mergeCell ref="AN4:AO4"/>
    <mergeCell ref="G4:H4"/>
    <mergeCell ref="J4:K4"/>
    <mergeCell ref="M4:N4"/>
    <mergeCell ref="P4:Q4"/>
    <mergeCell ref="S4:T4"/>
    <mergeCell ref="V4:W4"/>
    <mergeCell ref="Y4:Z4"/>
    <mergeCell ref="AB4:AC4"/>
    <mergeCell ref="AE4:AF4"/>
    <mergeCell ref="B48:Q48"/>
    <mergeCell ref="B49:Q49"/>
    <mergeCell ref="B50:Q50"/>
    <mergeCell ref="B44:D44"/>
    <mergeCell ref="D3:E3"/>
    <mergeCell ref="D4:E4"/>
  </mergeCells>
  <pageMargins left="0.74803149606299213" right="0.74803149606299213" top="0.98425196850393704" bottom="0.78740157480314965" header="0.51181102362204722" footer="0.51181102362204722"/>
  <pageSetup paperSize="9" scale="59" orientation="portrait" r:id="rId1"/>
  <headerFooter alignWithMargins="0">
    <oddFooter>&amp;L&amp;F, &amp;A&amp;R&amp;D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444-B657-4017-B7AF-943F1C74947D}">
  <sheetPr>
    <pageSetUpPr fitToPage="1"/>
  </sheetPr>
  <dimension ref="A1:CC81"/>
  <sheetViews>
    <sheetView zoomScale="106" workbookViewId="0">
      <selection activeCell="E5" sqref="E5"/>
    </sheetView>
  </sheetViews>
  <sheetFormatPr defaultColWidth="8.85546875" defaultRowHeight="12.75" x14ac:dyDescent="0.2"/>
  <cols>
    <col min="1" max="1" width="39.28515625" customWidth="1"/>
    <col min="2" max="2" width="10.28515625" bestFit="1" customWidth="1"/>
    <col min="3" max="5" width="9.85546875" bestFit="1" customWidth="1"/>
    <col min="6" max="6" width="9.85546875" style="32" bestFit="1" customWidth="1"/>
    <col min="7" max="7" width="1" style="84" customWidth="1"/>
    <col min="8" max="8" width="9.85546875" bestFit="1" customWidth="1"/>
    <col min="9" max="9" width="3.85546875" customWidth="1"/>
    <col min="10" max="10" width="1.140625" style="84" customWidth="1"/>
    <col min="11" max="12" width="9.85546875" style="32" bestFit="1" customWidth="1"/>
    <col min="13" max="13" width="9.85546875" bestFit="1" customWidth="1"/>
    <col min="14" max="14" width="6.140625" bestFit="1" customWidth="1"/>
    <col min="15" max="15" width="23.140625" style="99" bestFit="1" customWidth="1"/>
    <col min="16" max="16" width="1.140625" style="99" customWidth="1"/>
    <col min="17" max="17" width="10.28515625" bestFit="1" customWidth="1"/>
  </cols>
  <sheetData>
    <row r="1" spans="1:16" ht="15.75" x14ac:dyDescent="0.25">
      <c r="A1" s="42" t="s">
        <v>714</v>
      </c>
      <c r="B1" s="157"/>
    </row>
    <row r="2" spans="1:16" ht="12" customHeight="1" x14ac:dyDescent="0.2"/>
    <row r="3" spans="1:16" s="12" customFormat="1" ht="132.75" customHeight="1" x14ac:dyDescent="0.2">
      <c r="B3" s="69" t="s">
        <v>291</v>
      </c>
      <c r="C3" s="69" t="s">
        <v>292</v>
      </c>
      <c r="D3" s="90" t="s">
        <v>372</v>
      </c>
      <c r="E3" s="90" t="s">
        <v>633</v>
      </c>
      <c r="F3" s="118" t="s">
        <v>202</v>
      </c>
      <c r="G3" s="102"/>
      <c r="H3" s="69" t="s">
        <v>392</v>
      </c>
      <c r="I3" s="69" t="s">
        <v>302</v>
      </c>
      <c r="J3" s="102"/>
      <c r="K3" s="118" t="s">
        <v>190</v>
      </c>
      <c r="L3" s="118" t="s">
        <v>324</v>
      </c>
      <c r="M3" s="90" t="s">
        <v>447</v>
      </c>
      <c r="O3" s="152"/>
      <c r="P3" s="152"/>
    </row>
    <row r="5" spans="1:16" s="20" customFormat="1" x14ac:dyDescent="0.2">
      <c r="A5" s="20" t="s">
        <v>191</v>
      </c>
      <c r="B5" s="39">
        <f>+'kolommenbalans 2021'!B43</f>
        <v>8488.9999999999982</v>
      </c>
      <c r="C5" s="39">
        <f>+'kolommenbalans 2021'!C43</f>
        <v>1675.0099999999948</v>
      </c>
      <c r="D5" s="39">
        <f>+'kolommenbalans 2021'!D43</f>
        <v>-305.83999999999992</v>
      </c>
      <c r="E5" s="39">
        <f>+'kolommenbalans 2021'!E43</f>
        <v>-4698.17</v>
      </c>
      <c r="F5" s="39">
        <v>-5160</v>
      </c>
      <c r="G5" s="83"/>
      <c r="H5" s="39"/>
      <c r="I5" s="39"/>
      <c r="J5" s="83"/>
      <c r="K5" s="39">
        <f>+'kolommenbalans 2014'!K29</f>
        <v>0</v>
      </c>
      <c r="L5" s="39"/>
      <c r="M5" s="39"/>
      <c r="N5" s="39">
        <f>SUM(B5:K5)</f>
        <v>-7.2759576141834259E-12</v>
      </c>
      <c r="O5" s="153">
        <f>SUM(I5:K5)</f>
        <v>0</v>
      </c>
      <c r="P5" s="154"/>
    </row>
    <row r="6" spans="1:16" x14ac:dyDescent="0.2">
      <c r="A6" s="117">
        <v>44581</v>
      </c>
      <c r="B6" s="32">
        <v>-160</v>
      </c>
      <c r="C6" s="32"/>
      <c r="D6" s="32"/>
      <c r="E6" s="32"/>
      <c r="F6" s="32">
        <f>-B6</f>
        <v>160</v>
      </c>
      <c r="G6" s="132"/>
      <c r="H6" s="32"/>
      <c r="I6" s="32"/>
      <c r="J6" s="132"/>
      <c r="M6" s="32"/>
      <c r="N6" s="39"/>
      <c r="O6" s="155" t="s">
        <v>642</v>
      </c>
    </row>
    <row r="7" spans="1:16" x14ac:dyDescent="0.2">
      <c r="A7" s="117">
        <v>44587</v>
      </c>
      <c r="B7" s="32">
        <v>-8.74</v>
      </c>
      <c r="C7" s="32"/>
      <c r="D7" s="32"/>
      <c r="E7" s="32"/>
      <c r="G7" s="132"/>
      <c r="H7" s="32"/>
      <c r="I7" s="32"/>
      <c r="J7" s="132"/>
      <c r="K7" s="32">
        <f>-B7</f>
        <v>8.74</v>
      </c>
      <c r="M7" s="32"/>
      <c r="N7" s="39">
        <f t="shared" ref="N7:N28" si="0">SUM(B7:M7)</f>
        <v>0</v>
      </c>
      <c r="O7" s="155" t="s">
        <v>644</v>
      </c>
    </row>
    <row r="8" spans="1:16" x14ac:dyDescent="0.2">
      <c r="A8" s="117">
        <v>44595</v>
      </c>
      <c r="B8" s="32">
        <v>-100</v>
      </c>
      <c r="C8" s="32"/>
      <c r="E8" s="32"/>
      <c r="F8" s="32">
        <v>100</v>
      </c>
      <c r="G8" s="132"/>
      <c r="H8" s="32"/>
      <c r="N8" s="39"/>
      <c r="O8" s="155" t="s">
        <v>642</v>
      </c>
    </row>
    <row r="9" spans="1:16" x14ac:dyDescent="0.2">
      <c r="A9" s="117">
        <v>44595</v>
      </c>
      <c r="B9" s="32">
        <v>-100</v>
      </c>
      <c r="C9" s="32"/>
      <c r="E9" s="32"/>
      <c r="F9" s="32">
        <f>-B9</f>
        <v>100</v>
      </c>
      <c r="G9" s="132"/>
      <c r="H9" s="32"/>
      <c r="N9" s="39"/>
      <c r="O9" s="155" t="s">
        <v>642</v>
      </c>
    </row>
    <row r="10" spans="1:16" x14ac:dyDescent="0.2">
      <c r="A10" s="117">
        <v>44618</v>
      </c>
      <c r="B10" s="32">
        <v>-8.9600000000000009</v>
      </c>
      <c r="C10" s="32"/>
      <c r="E10" s="32"/>
      <c r="G10" s="132"/>
      <c r="H10" s="32"/>
      <c r="K10" s="32">
        <f>-B10</f>
        <v>8.9600000000000009</v>
      </c>
      <c r="N10" s="39">
        <f t="shared" si="0"/>
        <v>0</v>
      </c>
      <c r="O10" s="155" t="s">
        <v>644</v>
      </c>
    </row>
    <row r="11" spans="1:16" x14ac:dyDescent="0.2">
      <c r="A11" s="117">
        <v>44621</v>
      </c>
      <c r="B11" s="32">
        <v>-100</v>
      </c>
      <c r="C11" s="32"/>
      <c r="D11" s="32"/>
      <c r="E11" s="32"/>
      <c r="F11" s="32">
        <f>-B11</f>
        <v>100</v>
      </c>
      <c r="G11" s="132"/>
      <c r="H11" s="32"/>
      <c r="I11" s="32"/>
      <c r="J11" s="132"/>
      <c r="M11" s="32"/>
      <c r="N11" s="39"/>
      <c r="O11" s="155" t="s">
        <v>642</v>
      </c>
    </row>
    <row r="12" spans="1:16" x14ac:dyDescent="0.2">
      <c r="A12" s="117">
        <v>44646</v>
      </c>
      <c r="B12" s="32">
        <v>-9.17</v>
      </c>
      <c r="C12" s="32"/>
      <c r="E12" s="32"/>
      <c r="G12" s="132"/>
      <c r="H12" s="32"/>
      <c r="K12" s="32">
        <f>-B12</f>
        <v>9.17</v>
      </c>
      <c r="N12" s="39">
        <f t="shared" si="0"/>
        <v>0</v>
      </c>
      <c r="O12" s="155" t="s">
        <v>644</v>
      </c>
    </row>
    <row r="13" spans="1:16" x14ac:dyDescent="0.2">
      <c r="A13" s="117">
        <v>44652</v>
      </c>
      <c r="B13" s="32">
        <v>-100</v>
      </c>
      <c r="C13" s="32"/>
      <c r="E13" s="32"/>
      <c r="F13" s="32">
        <f>-B13</f>
        <v>100</v>
      </c>
      <c r="G13" s="132"/>
      <c r="H13" s="32"/>
      <c r="M13" s="32"/>
      <c r="N13" s="39"/>
      <c r="O13" s="155" t="s">
        <v>642</v>
      </c>
    </row>
    <row r="14" spans="1:16" x14ac:dyDescent="0.2">
      <c r="A14" s="117">
        <v>43947</v>
      </c>
      <c r="B14" s="32">
        <v>-8.9600000000000009</v>
      </c>
      <c r="C14" s="32"/>
      <c r="E14" s="32"/>
      <c r="G14" s="132"/>
      <c r="H14" s="32"/>
      <c r="K14" s="32">
        <f>-B14</f>
        <v>8.9600000000000009</v>
      </c>
      <c r="N14" s="39">
        <f t="shared" si="0"/>
        <v>0</v>
      </c>
      <c r="O14" s="155" t="s">
        <v>644</v>
      </c>
    </row>
    <row r="15" spans="1:16" x14ac:dyDescent="0.2">
      <c r="A15" s="117">
        <v>43952</v>
      </c>
      <c r="B15" s="32">
        <v>-100</v>
      </c>
      <c r="C15" s="32"/>
      <c r="E15" s="32"/>
      <c r="F15" s="32">
        <f>-B15</f>
        <v>100</v>
      </c>
      <c r="G15" s="132"/>
      <c r="H15" s="32"/>
      <c r="N15" s="39"/>
      <c r="O15" s="155" t="s">
        <v>642</v>
      </c>
    </row>
    <row r="16" spans="1:16" x14ac:dyDescent="0.2">
      <c r="A16" s="117">
        <v>43977</v>
      </c>
      <c r="B16" s="32">
        <v>-13.59</v>
      </c>
      <c r="C16" s="32"/>
      <c r="E16" s="32"/>
      <c r="G16" s="132"/>
      <c r="H16" s="32"/>
      <c r="K16" s="32">
        <f>-B16</f>
        <v>13.59</v>
      </c>
      <c r="N16" s="39">
        <f t="shared" si="0"/>
        <v>0</v>
      </c>
      <c r="O16" s="155" t="s">
        <v>644</v>
      </c>
    </row>
    <row r="17" spans="1:16" s="99" customFormat="1" x14ac:dyDescent="0.2">
      <c r="A17" s="117">
        <v>43983</v>
      </c>
      <c r="B17" s="32">
        <v>-100</v>
      </c>
      <c r="C17" s="32"/>
      <c r="D17"/>
      <c r="E17" s="32"/>
      <c r="F17" s="32">
        <f>-B17</f>
        <v>100</v>
      </c>
      <c r="G17" s="132"/>
      <c r="H17" s="32"/>
      <c r="I17"/>
      <c r="J17" s="84"/>
      <c r="K17" s="32"/>
      <c r="L17" s="32"/>
      <c r="M17"/>
      <c r="N17" s="39"/>
      <c r="O17" s="155" t="s">
        <v>642</v>
      </c>
    </row>
    <row r="18" spans="1:16" s="99" customFormat="1" x14ac:dyDescent="0.2">
      <c r="A18" s="117">
        <v>44738</v>
      </c>
      <c r="B18" s="32">
        <v>-13.59</v>
      </c>
      <c r="C18"/>
      <c r="D18"/>
      <c r="E18" s="32"/>
      <c r="F18" s="32"/>
      <c r="G18" s="132"/>
      <c r="H18" s="32"/>
      <c r="I18" s="32"/>
      <c r="J18" s="132"/>
      <c r="K18" s="32">
        <f>-B18</f>
        <v>13.59</v>
      </c>
      <c r="L18" s="32"/>
      <c r="M18" s="32"/>
      <c r="N18" s="39">
        <f t="shared" si="0"/>
        <v>0</v>
      </c>
      <c r="O18" s="155" t="s">
        <v>644</v>
      </c>
    </row>
    <row r="19" spans="1:16" s="99" customFormat="1" x14ac:dyDescent="0.2">
      <c r="A19" s="117">
        <v>44013</v>
      </c>
      <c r="B19" s="32">
        <v>-100</v>
      </c>
      <c r="C19" s="32"/>
      <c r="D19"/>
      <c r="E19" s="32"/>
      <c r="F19" s="32">
        <f>-B19</f>
        <v>100</v>
      </c>
      <c r="G19" s="132"/>
      <c r="H19" s="32"/>
      <c r="I19" s="32"/>
      <c r="J19" s="132"/>
      <c r="K19" s="32"/>
      <c r="L19" s="32"/>
      <c r="M19" s="32"/>
      <c r="N19" s="39"/>
      <c r="O19" s="155" t="s">
        <v>642</v>
      </c>
    </row>
    <row r="20" spans="1:16" s="99" customFormat="1" x14ac:dyDescent="0.2">
      <c r="A20" s="31">
        <v>44038</v>
      </c>
      <c r="B20" s="32">
        <v>-13.59</v>
      </c>
      <c r="C20" s="32"/>
      <c r="D20"/>
      <c r="E20" s="32"/>
      <c r="F20" s="32"/>
      <c r="G20" s="132"/>
      <c r="H20" s="32"/>
      <c r="I20" s="32"/>
      <c r="J20" s="132"/>
      <c r="K20" s="32">
        <f>-B20</f>
        <v>13.59</v>
      </c>
      <c r="L20" s="32"/>
      <c r="M20" s="32"/>
      <c r="N20" s="39">
        <f t="shared" si="0"/>
        <v>0</v>
      </c>
      <c r="O20" s="155" t="s">
        <v>644</v>
      </c>
    </row>
    <row r="21" spans="1:16" s="99" customFormat="1" x14ac:dyDescent="0.2">
      <c r="A21" s="31">
        <v>44773</v>
      </c>
      <c r="B21" s="32">
        <v>7500</v>
      </c>
      <c r="C21" s="32"/>
      <c r="D21"/>
      <c r="E21" s="32"/>
      <c r="F21" s="32"/>
      <c r="G21" s="132"/>
      <c r="H21" s="32">
        <f>-B21</f>
        <v>-7500</v>
      </c>
      <c r="I21" s="32"/>
      <c r="J21" s="132"/>
      <c r="K21" s="32"/>
      <c r="L21" s="32"/>
      <c r="M21" s="32"/>
      <c r="N21" s="39"/>
      <c r="O21" s="155" t="s">
        <v>698</v>
      </c>
    </row>
    <row r="22" spans="1:16" s="99" customFormat="1" x14ac:dyDescent="0.2">
      <c r="A22" s="117">
        <v>44044</v>
      </c>
      <c r="B22" s="32">
        <v>-100</v>
      </c>
      <c r="C22" s="32"/>
      <c r="D22" s="32"/>
      <c r="E22" s="32"/>
      <c r="F22" s="32">
        <f>-B22</f>
        <v>100</v>
      </c>
      <c r="G22" s="132"/>
      <c r="H22" s="32"/>
      <c r="I22" s="32"/>
      <c r="J22" s="132"/>
      <c r="K22" s="32"/>
      <c r="L22" s="32"/>
      <c r="M22"/>
      <c r="N22" s="39"/>
      <c r="O22" s="155" t="s">
        <v>642</v>
      </c>
    </row>
    <row r="23" spans="1:16" s="99" customFormat="1" x14ac:dyDescent="0.2">
      <c r="A23" s="117">
        <v>44426</v>
      </c>
      <c r="B23" s="32">
        <v>-5000</v>
      </c>
      <c r="C23" s="32"/>
      <c r="D23" s="32"/>
      <c r="E23" s="32"/>
      <c r="F23" s="32"/>
      <c r="G23" s="132"/>
      <c r="H23" s="32"/>
      <c r="I23" s="32"/>
      <c r="J23" s="132"/>
      <c r="K23" s="32"/>
      <c r="L23" s="32">
        <f>-B23</f>
        <v>5000</v>
      </c>
      <c r="M23"/>
      <c r="N23" s="39">
        <f t="shared" si="0"/>
        <v>0</v>
      </c>
      <c r="O23" s="99" t="s">
        <v>715</v>
      </c>
    </row>
    <row r="24" spans="1:16" s="99" customFormat="1" x14ac:dyDescent="0.2">
      <c r="A24" s="117">
        <v>44069</v>
      </c>
      <c r="B24" s="32">
        <v>-13.8</v>
      </c>
      <c r="C24" s="32"/>
      <c r="D24" s="32"/>
      <c r="E24" s="32"/>
      <c r="F24" s="32"/>
      <c r="G24" s="132"/>
      <c r="H24" s="32"/>
      <c r="I24" s="32"/>
      <c r="J24" s="132"/>
      <c r="K24" s="32">
        <f>-B24</f>
        <v>13.8</v>
      </c>
      <c r="L24" s="32"/>
      <c r="M24"/>
      <c r="N24" s="39">
        <f t="shared" si="0"/>
        <v>0</v>
      </c>
      <c r="O24" s="155" t="s">
        <v>644</v>
      </c>
    </row>
    <row r="25" spans="1:16" s="99" customFormat="1" x14ac:dyDescent="0.2">
      <c r="A25" s="117">
        <v>44075</v>
      </c>
      <c r="B25" s="32">
        <v>-100</v>
      </c>
      <c r="C25" s="32"/>
      <c r="D25" s="32"/>
      <c r="E25" s="32"/>
      <c r="F25" s="32">
        <f>-B25</f>
        <v>100</v>
      </c>
      <c r="G25" s="132"/>
      <c r="H25" s="32"/>
      <c r="I25" s="32"/>
      <c r="J25" s="132"/>
      <c r="K25" s="32"/>
      <c r="L25" s="32"/>
      <c r="M25"/>
      <c r="N25" s="39"/>
      <c r="O25" s="155" t="s">
        <v>642</v>
      </c>
    </row>
    <row r="26" spans="1:16" s="99" customFormat="1" x14ac:dyDescent="0.2">
      <c r="A26" s="117">
        <v>44100</v>
      </c>
      <c r="B26" s="32">
        <v>-13.8</v>
      </c>
      <c r="C26" s="32"/>
      <c r="D26" s="32"/>
      <c r="E26" s="32"/>
      <c r="F26" s="32"/>
      <c r="G26" s="132"/>
      <c r="H26" s="32"/>
      <c r="I26" s="32"/>
      <c r="J26" s="132"/>
      <c r="K26" s="32">
        <f>-B26</f>
        <v>13.8</v>
      </c>
      <c r="L26" s="32"/>
      <c r="M26"/>
      <c r="N26" s="39">
        <f t="shared" si="0"/>
        <v>0</v>
      </c>
      <c r="O26" s="155" t="s">
        <v>644</v>
      </c>
    </row>
    <row r="27" spans="1:16" s="99" customFormat="1" x14ac:dyDescent="0.2">
      <c r="A27" s="117">
        <v>44105</v>
      </c>
      <c r="B27" s="32">
        <v>-100</v>
      </c>
      <c r="C27" s="32"/>
      <c r="D27" s="32"/>
      <c r="E27" s="32"/>
      <c r="F27" s="32">
        <f>-B27</f>
        <v>100</v>
      </c>
      <c r="G27" s="132"/>
      <c r="H27" s="32"/>
      <c r="I27" s="32"/>
      <c r="J27" s="132"/>
      <c r="K27" s="32"/>
      <c r="L27" s="32"/>
      <c r="M27"/>
      <c r="N27" s="39"/>
      <c r="O27" s="155" t="s">
        <v>642</v>
      </c>
    </row>
    <row r="28" spans="1:16" s="99" customFormat="1" x14ac:dyDescent="0.2">
      <c r="A28" s="117">
        <v>44130</v>
      </c>
      <c r="B28" s="32">
        <v>-19.03</v>
      </c>
      <c r="C28" s="32"/>
      <c r="D28" s="32"/>
      <c r="E28" s="32"/>
      <c r="F28" s="32"/>
      <c r="G28" s="132"/>
      <c r="H28" s="32"/>
      <c r="I28" s="32"/>
      <c r="J28" s="132"/>
      <c r="K28" s="32">
        <f>-B28</f>
        <v>19.03</v>
      </c>
      <c r="L28" s="32"/>
      <c r="M28"/>
      <c r="N28" s="39">
        <f t="shared" si="0"/>
        <v>0</v>
      </c>
      <c r="O28" s="155" t="s">
        <v>644</v>
      </c>
    </row>
    <row r="29" spans="1:16" s="99" customFormat="1" x14ac:dyDescent="0.2">
      <c r="A29" s="117">
        <v>44866</v>
      </c>
      <c r="B29" s="32">
        <v>-100</v>
      </c>
      <c r="C29" s="32"/>
      <c r="D29" s="32"/>
      <c r="E29" s="32"/>
      <c r="F29" s="32">
        <f>-B29</f>
        <v>100</v>
      </c>
      <c r="G29" s="132"/>
      <c r="H29" s="32"/>
      <c r="I29" s="32"/>
      <c r="J29" s="132"/>
      <c r="K29" s="32"/>
      <c r="L29" s="32"/>
      <c r="M29"/>
      <c r="N29" s="39"/>
      <c r="O29" s="155" t="s">
        <v>642</v>
      </c>
    </row>
    <row r="30" spans="1:16" s="147" customFormat="1" x14ac:dyDescent="0.2">
      <c r="A30" s="158">
        <v>44161</v>
      </c>
      <c r="B30" s="146">
        <v>-19.03</v>
      </c>
      <c r="C30" s="146"/>
      <c r="D30" s="146"/>
      <c r="E30" s="146"/>
      <c r="F30" s="146"/>
      <c r="G30" s="159"/>
      <c r="H30" s="146"/>
      <c r="I30" s="146"/>
      <c r="J30" s="159"/>
      <c r="K30" s="32">
        <f>-B30</f>
        <v>19.03</v>
      </c>
      <c r="L30" s="146"/>
      <c r="N30" s="39">
        <f>SUM(B30:M30)</f>
        <v>0</v>
      </c>
      <c r="O30" s="155" t="s">
        <v>644</v>
      </c>
      <c r="P30" s="99"/>
    </row>
    <row r="31" spans="1:16" s="147" customFormat="1" x14ac:dyDescent="0.2">
      <c r="A31" s="158">
        <v>44896</v>
      </c>
      <c r="B31" s="146">
        <v>-100</v>
      </c>
      <c r="C31" s="146"/>
      <c r="D31" s="146"/>
      <c r="E31" s="146"/>
      <c r="F31" s="32">
        <f>-B31</f>
        <v>100</v>
      </c>
      <c r="G31" s="159"/>
      <c r="H31" s="146"/>
      <c r="I31" s="146"/>
      <c r="J31" s="159"/>
      <c r="K31" s="146"/>
      <c r="L31" s="146"/>
      <c r="N31" s="39"/>
      <c r="O31" s="155" t="s">
        <v>642</v>
      </c>
      <c r="P31" s="99"/>
    </row>
    <row r="32" spans="1:16" s="147" customFormat="1" x14ac:dyDescent="0.2">
      <c r="A32" s="158">
        <v>45281</v>
      </c>
      <c r="B32" s="146">
        <v>-1000</v>
      </c>
      <c r="C32" s="146"/>
      <c r="D32" s="146"/>
      <c r="E32" s="146"/>
      <c r="F32" s="32"/>
      <c r="G32" s="159"/>
      <c r="H32" s="146"/>
      <c r="I32" s="146"/>
      <c r="J32" s="159"/>
      <c r="K32" s="146"/>
      <c r="L32" s="146">
        <v>1000</v>
      </c>
      <c r="N32" s="39"/>
      <c r="O32" s="155" t="s">
        <v>717</v>
      </c>
      <c r="P32" s="99"/>
    </row>
    <row r="33" spans="1:18" s="147" customFormat="1" x14ac:dyDescent="0.2">
      <c r="A33" s="158">
        <v>44191</v>
      </c>
      <c r="B33" s="146">
        <v>-19.03</v>
      </c>
      <c r="C33" s="146"/>
      <c r="D33" s="146"/>
      <c r="E33" s="146"/>
      <c r="F33" s="32"/>
      <c r="G33" s="159"/>
      <c r="H33" s="146"/>
      <c r="I33" s="146"/>
      <c r="J33" s="159"/>
      <c r="K33" s="146">
        <v>19.03</v>
      </c>
      <c r="L33" s="146"/>
      <c r="N33" s="39"/>
      <c r="O33" s="155" t="s">
        <v>644</v>
      </c>
      <c r="P33" s="99"/>
    </row>
    <row r="34" spans="1:18" s="147" customFormat="1" x14ac:dyDescent="0.2">
      <c r="A34" s="158"/>
      <c r="B34" s="146"/>
      <c r="C34" s="146"/>
      <c r="D34" s="146"/>
      <c r="E34" s="146"/>
      <c r="F34" s="32"/>
      <c r="G34" s="159"/>
      <c r="H34" s="146"/>
      <c r="I34" s="146"/>
      <c r="J34" s="159"/>
      <c r="K34" s="146"/>
      <c r="L34" s="146"/>
      <c r="N34" s="39"/>
      <c r="O34" s="155"/>
      <c r="P34" s="99"/>
    </row>
    <row r="35" spans="1:18" s="20" customFormat="1" x14ac:dyDescent="0.2">
      <c r="A35" s="20" t="s">
        <v>203</v>
      </c>
      <c r="B35" s="39">
        <f>SUM(B5:B34)</f>
        <v>8467.7099999999973</v>
      </c>
      <c r="C35" s="39">
        <f>SUM(C5:C34)</f>
        <v>1675.0099999999948</v>
      </c>
      <c r="D35" s="39">
        <f>SUM(D5:D34)</f>
        <v>-305.83999999999992</v>
      </c>
      <c r="E35" s="39">
        <v>638</v>
      </c>
      <c r="F35" s="39">
        <f>SUM(F5:F34)</f>
        <v>-3800</v>
      </c>
      <c r="G35" s="83">
        <f>SUM(G5:G28)</f>
        <v>0</v>
      </c>
      <c r="H35" s="39">
        <f>SUM(H5:H34)</f>
        <v>-7500</v>
      </c>
      <c r="I35" s="39">
        <f>SUM(I5:I34)</f>
        <v>0</v>
      </c>
      <c r="J35" s="83"/>
      <c r="K35" s="39">
        <f>SUM(K5:K34)</f>
        <v>161.29</v>
      </c>
      <c r="L35" s="39">
        <f>SUM(L5:L34)</f>
        <v>6000</v>
      </c>
      <c r="M35" s="39">
        <f>SUM(M5:M34)</f>
        <v>0</v>
      </c>
      <c r="N35" s="146">
        <f>SUM(N5:N34)</f>
        <v>-7.2759576141834259E-12</v>
      </c>
      <c r="O35" s="153">
        <f>SUM(B35:M35)</f>
        <v>5336.1699999999919</v>
      </c>
      <c r="P35" s="154"/>
    </row>
    <row r="36" spans="1:18" s="20" customFormat="1" x14ac:dyDescent="0.2">
      <c r="B36" s="39"/>
      <c r="C36" s="39"/>
      <c r="D36" s="39"/>
      <c r="E36" s="39"/>
      <c r="F36" s="39"/>
      <c r="G36" s="83"/>
      <c r="H36" s="39"/>
      <c r="I36" s="39"/>
      <c r="J36" s="83"/>
      <c r="K36" s="39"/>
      <c r="L36" s="39"/>
      <c r="M36" s="39"/>
      <c r="N36" s="146"/>
      <c r="O36" s="153"/>
      <c r="P36" s="154"/>
    </row>
    <row r="37" spans="1:18" x14ac:dyDescent="0.2">
      <c r="A37" s="20" t="s">
        <v>199</v>
      </c>
      <c r="B37" s="32"/>
      <c r="C37" s="32"/>
      <c r="D37" s="32"/>
      <c r="E37" s="32"/>
      <c r="G37" s="132"/>
      <c r="H37" s="32"/>
      <c r="I37" s="32"/>
      <c r="J37" s="132"/>
      <c r="M37" s="32"/>
      <c r="N37" s="146"/>
      <c r="O37" s="155"/>
    </row>
    <row r="38" spans="1:18" x14ac:dyDescent="0.2">
      <c r="A38" s="147" t="s">
        <v>741</v>
      </c>
      <c r="B38" s="32"/>
      <c r="C38" s="32"/>
      <c r="D38" s="32">
        <v>-59.82</v>
      </c>
      <c r="E38" s="32"/>
      <c r="G38" s="132"/>
      <c r="H38" s="32"/>
      <c r="I38" s="32"/>
      <c r="J38" s="132"/>
      <c r="K38" s="32">
        <f>-D38</f>
        <v>59.82</v>
      </c>
      <c r="M38" s="32"/>
      <c r="N38" s="146">
        <f>SUM(B38:M38)</f>
        <v>0</v>
      </c>
      <c r="O38" s="155"/>
    </row>
    <row r="39" spans="1:18" x14ac:dyDescent="0.2">
      <c r="A39" s="70" t="s">
        <v>549</v>
      </c>
      <c r="B39" s="32"/>
      <c r="C39" s="32"/>
      <c r="D39" s="72">
        <f>+K35</f>
        <v>161.29</v>
      </c>
      <c r="E39" s="32"/>
      <c r="G39" s="132"/>
      <c r="H39" s="47"/>
      <c r="I39" s="32"/>
      <c r="J39" s="132"/>
      <c r="K39" s="32">
        <v>-161.29</v>
      </c>
      <c r="M39" s="32"/>
      <c r="N39" s="146">
        <f>SUM(B39:M39)</f>
        <v>0</v>
      </c>
      <c r="O39" s="252"/>
      <c r="P39" s="238"/>
    </row>
    <row r="40" spans="1:18" x14ac:dyDescent="0.2">
      <c r="A40" s="70"/>
      <c r="B40" s="32"/>
      <c r="C40" s="32"/>
      <c r="D40" s="72"/>
      <c r="E40" s="32"/>
      <c r="G40" s="132"/>
      <c r="I40" s="32"/>
      <c r="J40" s="132"/>
      <c r="M40" s="32"/>
      <c r="N40" s="146"/>
      <c r="O40" s="211"/>
      <c r="P40" s="98"/>
    </row>
    <row r="41" spans="1:18" x14ac:dyDescent="0.2">
      <c r="A41" s="20" t="s">
        <v>728</v>
      </c>
      <c r="B41" s="32"/>
      <c r="C41" s="32"/>
      <c r="D41" s="72"/>
      <c r="E41" s="32"/>
      <c r="F41" s="32">
        <v>-1200</v>
      </c>
      <c r="G41" s="132"/>
      <c r="I41" s="32"/>
      <c r="J41" s="132"/>
      <c r="M41" s="32"/>
      <c r="N41" s="146"/>
      <c r="O41" s="211"/>
      <c r="P41" s="98"/>
    </row>
    <row r="42" spans="1:18" x14ac:dyDescent="0.2">
      <c r="A42" s="147" t="s">
        <v>753</v>
      </c>
      <c r="B42" s="32"/>
      <c r="C42" s="32"/>
      <c r="D42" s="72"/>
      <c r="E42" s="32"/>
      <c r="F42" s="32">
        <v>200</v>
      </c>
      <c r="G42" s="132"/>
      <c r="I42" s="32"/>
      <c r="J42" s="132"/>
      <c r="M42" s="32"/>
      <c r="N42" s="146"/>
      <c r="O42" s="211"/>
      <c r="P42" s="98"/>
    </row>
    <row r="43" spans="1:18" x14ac:dyDescent="0.2">
      <c r="A43" s="147" t="s">
        <v>754</v>
      </c>
      <c r="B43" s="32"/>
      <c r="C43" s="32"/>
      <c r="D43" s="72"/>
      <c r="E43" s="32"/>
      <c r="G43" s="132"/>
      <c r="I43" s="32"/>
      <c r="J43" s="132"/>
      <c r="M43" s="32"/>
      <c r="N43" s="146"/>
      <c r="O43" s="211"/>
      <c r="P43" s="98"/>
    </row>
    <row r="44" spans="1:18" x14ac:dyDescent="0.2">
      <c r="A44" s="20" t="s">
        <v>755</v>
      </c>
      <c r="B44" s="32"/>
      <c r="C44" s="32"/>
      <c r="D44" s="72"/>
      <c r="E44" s="32"/>
      <c r="G44" s="132"/>
      <c r="I44" s="32"/>
      <c r="J44" s="132"/>
      <c r="M44" s="32">
        <f>4*1200</f>
        <v>4800</v>
      </c>
      <c r="N44" s="146"/>
      <c r="O44" s="211"/>
      <c r="P44" s="98"/>
    </row>
    <row r="45" spans="1:18" x14ac:dyDescent="0.2">
      <c r="A45" s="20" t="s">
        <v>727</v>
      </c>
      <c r="B45" s="32"/>
      <c r="C45" s="32"/>
      <c r="D45" s="72"/>
      <c r="E45" s="32"/>
      <c r="G45" s="132"/>
      <c r="I45" s="32"/>
      <c r="J45" s="132"/>
      <c r="M45" s="32"/>
      <c r="N45" s="146"/>
      <c r="O45" s="211"/>
      <c r="P45" s="98"/>
      <c r="R45">
        <f>80*12</f>
        <v>960</v>
      </c>
    </row>
    <row r="46" spans="1:18" x14ac:dyDescent="0.2">
      <c r="A46" s="147" t="s">
        <v>722</v>
      </c>
      <c r="B46" s="32"/>
      <c r="C46" s="32"/>
      <c r="D46" s="72"/>
      <c r="F46" s="218">
        <v>-3000</v>
      </c>
      <c r="G46" s="132"/>
      <c r="I46" s="32"/>
      <c r="J46" s="132"/>
      <c r="N46" s="146"/>
      <c r="O46" s="211"/>
      <c r="P46" s="98"/>
      <c r="R46">
        <f>1200-R45</f>
        <v>240</v>
      </c>
    </row>
    <row r="47" spans="1:18" x14ac:dyDescent="0.2">
      <c r="A47" s="147" t="s">
        <v>723</v>
      </c>
      <c r="B47" s="32"/>
      <c r="C47" s="32"/>
      <c r="D47" s="72"/>
      <c r="F47" s="218">
        <v>-1500</v>
      </c>
      <c r="G47" s="132"/>
      <c r="I47" s="32"/>
      <c r="J47" s="132"/>
      <c r="N47" s="146"/>
      <c r="O47" s="211"/>
      <c r="P47" s="98"/>
    </row>
    <row r="48" spans="1:18" x14ac:dyDescent="0.2">
      <c r="A48" s="147"/>
      <c r="B48" s="32"/>
      <c r="C48" s="32"/>
      <c r="D48" s="72"/>
      <c r="E48" s="32"/>
      <c r="G48" s="132"/>
      <c r="I48" s="32"/>
      <c r="J48" s="132"/>
      <c r="M48" s="32"/>
      <c r="N48" s="146"/>
      <c r="O48" s="211"/>
      <c r="P48" s="98"/>
    </row>
    <row r="49" spans="1:17" x14ac:dyDescent="0.2">
      <c r="A49" s="147"/>
      <c r="B49" s="32"/>
      <c r="C49" s="32"/>
      <c r="D49" s="47"/>
      <c r="E49" s="32"/>
      <c r="G49" s="132"/>
      <c r="I49" s="32"/>
      <c r="J49" s="132"/>
      <c r="M49" s="32"/>
      <c r="N49" s="146"/>
      <c r="O49" s="155"/>
    </row>
    <row r="50" spans="1:17" s="20" customFormat="1" x14ac:dyDescent="0.2">
      <c r="A50" s="20" t="s">
        <v>194</v>
      </c>
      <c r="B50" s="39">
        <f>+SUM(B35:B49)</f>
        <v>8467.7099999999973</v>
      </c>
      <c r="C50" s="39">
        <f>+SUM(C35:C49)</f>
        <v>1675.0099999999948</v>
      </c>
      <c r="D50" s="39">
        <f>+SUM(D35:D49)</f>
        <v>-204.36999999999992</v>
      </c>
      <c r="E50" s="39">
        <f>+SUM(E35:E49)</f>
        <v>638</v>
      </c>
      <c r="F50" s="39">
        <f>SUM(F34:F49)</f>
        <v>-9300</v>
      </c>
      <c r="G50" s="83"/>
      <c r="H50" s="39">
        <f>+SUM(H35:H49)</f>
        <v>-7500</v>
      </c>
      <c r="I50" s="39">
        <f>+SUM(I35:I49)</f>
        <v>0</v>
      </c>
      <c r="J50" s="83"/>
      <c r="K50" s="39">
        <v>221.11</v>
      </c>
      <c r="L50" s="39">
        <f>+SUM(L35:L49)</f>
        <v>6000</v>
      </c>
      <c r="M50" s="39">
        <f>+SUM(M35:M49)</f>
        <v>4800</v>
      </c>
      <c r="N50" s="39"/>
      <c r="O50" s="153"/>
      <c r="P50" s="154"/>
    </row>
    <row r="51" spans="1:17" x14ac:dyDescent="0.2">
      <c r="B51" s="32"/>
      <c r="C51" s="32"/>
      <c r="D51" s="32"/>
      <c r="E51" s="32"/>
      <c r="G51" s="132"/>
      <c r="H51" s="32"/>
      <c r="I51" s="32"/>
      <c r="J51" s="132"/>
      <c r="M51" s="32"/>
      <c r="N51" s="146"/>
      <c r="O51" s="155"/>
      <c r="Q51" s="216">
        <f>+H50+E52</f>
        <v>-6221.11</v>
      </c>
    </row>
    <row r="52" spans="1:17" s="20" customFormat="1" x14ac:dyDescent="0.2">
      <c r="A52" s="20" t="s">
        <v>731</v>
      </c>
      <c r="B52" s="39"/>
      <c r="C52" s="39"/>
      <c r="E52" s="32">
        <f>+H52+K52+L52</f>
        <v>1278.8900000000003</v>
      </c>
      <c r="F52" s="32"/>
      <c r="G52" s="132"/>
      <c r="H52" s="212">
        <f>-H50</f>
        <v>7500</v>
      </c>
      <c r="I52" s="32">
        <f>-I35</f>
        <v>0</v>
      </c>
      <c r="J52" s="132"/>
      <c r="K52" s="32">
        <f>-K50</f>
        <v>-221.11</v>
      </c>
      <c r="L52" s="32">
        <f>-L50</f>
        <v>-6000</v>
      </c>
      <c r="M52" s="72">
        <f>-M50</f>
        <v>-4800</v>
      </c>
      <c r="N52" s="146"/>
      <c r="O52" s="153"/>
      <c r="P52" s="154"/>
    </row>
    <row r="53" spans="1:17" x14ac:dyDescent="0.2">
      <c r="B53" s="32"/>
      <c r="C53" s="32"/>
      <c r="D53" s="32"/>
      <c r="E53" s="32"/>
      <c r="G53" s="132"/>
      <c r="H53" s="32"/>
      <c r="I53" s="32"/>
      <c r="J53" s="132"/>
      <c r="M53" s="32"/>
      <c r="N53" s="146"/>
      <c r="O53" s="155"/>
    </row>
    <row r="54" spans="1:17" s="20" customFormat="1" x14ac:dyDescent="0.2">
      <c r="A54" s="20" t="s">
        <v>240</v>
      </c>
      <c r="B54" s="39">
        <f>+B50+B52</f>
        <v>8467.7099999999973</v>
      </c>
      <c r="C54" s="39">
        <f>+C50+C52</f>
        <v>1675.0099999999948</v>
      </c>
      <c r="D54" s="39">
        <f>+D50+D52</f>
        <v>-204.36999999999992</v>
      </c>
      <c r="E54" s="39">
        <f>+E50-E52</f>
        <v>-640.89000000000033</v>
      </c>
      <c r="F54" s="39">
        <f t="shared" ref="F54:M54" si="1">+F50+F52</f>
        <v>-9300</v>
      </c>
      <c r="G54" s="83"/>
      <c r="H54" s="39">
        <f>+H50+H52</f>
        <v>0</v>
      </c>
      <c r="I54" s="39">
        <f>+I50+I52</f>
        <v>0</v>
      </c>
      <c r="J54" s="83"/>
      <c r="K54" s="39">
        <f>+K50+K52</f>
        <v>0</v>
      </c>
      <c r="L54" s="39">
        <f>+L50+L52</f>
        <v>0</v>
      </c>
      <c r="M54" s="39">
        <f t="shared" si="1"/>
        <v>0</v>
      </c>
      <c r="N54" s="146"/>
      <c r="O54" s="153"/>
      <c r="P54" s="154"/>
    </row>
    <row r="56" spans="1:17" s="133" customFormat="1" ht="15" x14ac:dyDescent="0.2">
      <c r="A56" s="20" t="s">
        <v>592</v>
      </c>
      <c r="C56" s="134"/>
      <c r="D56" s="134"/>
      <c r="F56" s="134"/>
      <c r="G56" s="135"/>
      <c r="J56" s="135"/>
      <c r="K56" s="134"/>
      <c r="L56" s="134"/>
      <c r="N56" s="217"/>
      <c r="O56" s="99"/>
      <c r="P56" s="99"/>
    </row>
    <row r="57" spans="1:17" s="133" customFormat="1" ht="15" x14ac:dyDescent="0.2">
      <c r="A57" s="147"/>
      <c r="C57" s="134"/>
      <c r="D57" s="134"/>
      <c r="F57" s="134"/>
      <c r="G57" s="135"/>
      <c r="J57" s="135"/>
      <c r="K57" s="134"/>
      <c r="L57" s="134"/>
      <c r="O57" s="99"/>
      <c r="P57" s="99"/>
    </row>
    <row r="58" spans="1:17" x14ac:dyDescent="0.2">
      <c r="A58" s="161" t="s">
        <v>729</v>
      </c>
      <c r="B58" s="146"/>
      <c r="C58" s="147"/>
      <c r="F58" s="146"/>
    </row>
    <row r="59" spans="1:17" ht="13.5" customHeight="1" x14ac:dyDescent="0.2">
      <c r="A59" s="148" t="s">
        <v>716</v>
      </c>
      <c r="B59" s="146">
        <f>-12*100</f>
        <v>-1200</v>
      </c>
      <c r="C59" s="146" t="s">
        <v>748</v>
      </c>
      <c r="D59" s="146">
        <v>4800</v>
      </c>
    </row>
    <row r="60" spans="1:17" ht="13.5" customHeight="1" x14ac:dyDescent="0.2">
      <c r="A60" s="148"/>
      <c r="B60" s="146"/>
      <c r="C60" s="146"/>
      <c r="D60" s="146"/>
    </row>
    <row r="61" spans="1:17" ht="15" x14ac:dyDescent="0.35">
      <c r="A61" s="20" t="s">
        <v>720</v>
      </c>
      <c r="B61" s="146"/>
      <c r="C61" s="147"/>
      <c r="D61" s="45"/>
    </row>
    <row r="62" spans="1:17" x14ac:dyDescent="0.2">
      <c r="A62" s="148" t="s">
        <v>732</v>
      </c>
      <c r="B62" s="146">
        <v>1000</v>
      </c>
      <c r="C62" s="146">
        <v>-1000</v>
      </c>
      <c r="D62" s="32">
        <v>0</v>
      </c>
    </row>
    <row r="63" spans="1:17" x14ac:dyDescent="0.2">
      <c r="A63" s="107" t="s">
        <v>721</v>
      </c>
      <c r="B63" s="146"/>
      <c r="C63" s="146"/>
      <c r="D63" s="146"/>
      <c r="M63" s="216"/>
    </row>
    <row r="64" spans="1:17" x14ac:dyDescent="0.2">
      <c r="A64" s="182" t="s">
        <v>733</v>
      </c>
      <c r="B64" s="146">
        <v>5000</v>
      </c>
      <c r="C64" s="146">
        <v>-5000</v>
      </c>
      <c r="D64" s="32">
        <v>0</v>
      </c>
    </row>
    <row r="65" spans="1:81" x14ac:dyDescent="0.2">
      <c r="A65" s="107" t="s">
        <v>734</v>
      </c>
      <c r="B65" s="146"/>
      <c r="C65" s="146"/>
      <c r="D65" s="146"/>
    </row>
    <row r="66" spans="1:81" x14ac:dyDescent="0.2">
      <c r="A66" s="148" t="s">
        <v>661</v>
      </c>
      <c r="B66" s="146">
        <v>1000</v>
      </c>
      <c r="C66" s="147" t="s">
        <v>623</v>
      </c>
      <c r="D66" s="32"/>
    </row>
    <row r="67" spans="1:81" x14ac:dyDescent="0.2">
      <c r="A67" s="148" t="s">
        <v>662</v>
      </c>
      <c r="B67" s="146">
        <v>3000</v>
      </c>
      <c r="C67" s="147" t="s">
        <v>623</v>
      </c>
      <c r="D67" s="32"/>
      <c r="K67" s="32">
        <v>7500</v>
      </c>
    </row>
    <row r="68" spans="1:81" x14ac:dyDescent="0.2">
      <c r="A68" s="148" t="s">
        <v>722</v>
      </c>
      <c r="B68" s="146">
        <v>3000</v>
      </c>
      <c r="C68" s="146"/>
      <c r="D68" s="146">
        <v>3000</v>
      </c>
      <c r="K68" s="32">
        <v>-6000</v>
      </c>
    </row>
    <row r="69" spans="1:81" x14ac:dyDescent="0.2">
      <c r="A69" s="148" t="s">
        <v>723</v>
      </c>
      <c r="B69" s="146">
        <v>1500</v>
      </c>
      <c r="C69" s="146"/>
      <c r="D69" s="146">
        <v>1500</v>
      </c>
      <c r="K69" s="32">
        <v>-4500</v>
      </c>
    </row>
    <row r="70" spans="1:81" x14ac:dyDescent="0.2">
      <c r="A70" s="148"/>
      <c r="B70" s="146"/>
      <c r="C70" s="146"/>
      <c r="D70" s="32"/>
      <c r="K70" s="32">
        <f>-SUM(F6:F32)</f>
        <v>-1360</v>
      </c>
    </row>
    <row r="71" spans="1:81" s="84" customFormat="1" x14ac:dyDescent="0.2">
      <c r="A71" s="107" t="s">
        <v>735</v>
      </c>
      <c r="B71" s="39"/>
      <c r="C71" s="20" t="s">
        <v>684</v>
      </c>
      <c r="D71" s="47">
        <f>SUM(D59:D70)</f>
        <v>9300</v>
      </c>
      <c r="E71"/>
      <c r="F71"/>
      <c r="H71" s="187"/>
      <c r="I71"/>
      <c r="K71" s="32">
        <f>SUM(K67:K70)</f>
        <v>-4360</v>
      </c>
      <c r="L71" s="32"/>
      <c r="M71"/>
      <c r="N71"/>
      <c r="O71" s="99"/>
      <c r="P71" s="99"/>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row>
    <row r="72" spans="1:81" s="84" customFormat="1" ht="22.5" x14ac:dyDescent="0.2">
      <c r="A72" s="213" t="s">
        <v>730</v>
      </c>
      <c r="B72" s="39"/>
      <c r="C72" s="39"/>
      <c r="D72" s="39"/>
      <c r="E72" s="20"/>
      <c r="F72" s="39"/>
      <c r="H72" s="187"/>
      <c r="I72"/>
      <c r="K72" s="32"/>
      <c r="L72" s="32"/>
      <c r="M72"/>
      <c r="N72"/>
      <c r="O72" s="99"/>
      <c r="P72" s="99"/>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row>
    <row r="73" spans="1:81" s="84" customFormat="1" x14ac:dyDescent="0.2">
      <c r="A73" s="107"/>
      <c r="B73" s="39"/>
      <c r="C73" s="39"/>
      <c r="D73" s="39"/>
      <c r="E73" s="20"/>
      <c r="F73" s="39"/>
      <c r="H73" s="187"/>
      <c r="I73"/>
      <c r="K73" s="32"/>
      <c r="L73" s="32"/>
      <c r="M73"/>
      <c r="N73"/>
      <c r="O73" s="99"/>
      <c r="P73" s="99"/>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row>
    <row r="74" spans="1:81" s="84" customFormat="1" x14ac:dyDescent="0.2">
      <c r="A74" s="161" t="s">
        <v>670</v>
      </c>
      <c r="B74" s="146"/>
      <c r="C74" s="146"/>
      <c r="D74" s="146"/>
      <c r="E74" s="147"/>
      <c r="F74" s="146"/>
      <c r="H74"/>
      <c r="I74"/>
      <c r="K74" s="32"/>
      <c r="L74" s="32"/>
      <c r="M74"/>
      <c r="N74"/>
      <c r="O74" s="99"/>
      <c r="P74" s="99"/>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row>
    <row r="75" spans="1:81" s="84" customFormat="1" x14ac:dyDescent="0.2">
      <c r="A75" s="148" t="s">
        <v>718</v>
      </c>
      <c r="B75" s="146">
        <f>+D5</f>
        <v>-305.83999999999992</v>
      </c>
      <c r="C75" s="32"/>
      <c r="D75" s="32"/>
      <c r="E75"/>
      <c r="F75" s="32"/>
      <c r="H75"/>
      <c r="I75"/>
      <c r="K75" s="32"/>
      <c r="L75" s="32"/>
      <c r="M75"/>
      <c r="N75"/>
      <c r="O75" s="99"/>
      <c r="P75" s="99"/>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row>
    <row r="76" spans="1:81" s="84" customFormat="1" x14ac:dyDescent="0.2">
      <c r="A76" s="148" t="s">
        <v>719</v>
      </c>
      <c r="B76" s="160">
        <f>+K35</f>
        <v>161.29</v>
      </c>
      <c r="C76" s="70"/>
      <c r="D76" s="32"/>
      <c r="E76"/>
      <c r="F76" s="32"/>
      <c r="H76"/>
      <c r="I76"/>
      <c r="K76" s="32"/>
      <c r="L76" s="32"/>
      <c r="M76"/>
      <c r="N76"/>
      <c r="O76" s="99"/>
      <c r="P76" s="99"/>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row>
    <row r="77" spans="1:81" s="84" customFormat="1" x14ac:dyDescent="0.2">
      <c r="A77" s="148" t="s">
        <v>742</v>
      </c>
      <c r="B77" s="160">
        <f>D38</f>
        <v>-59.82</v>
      </c>
      <c r="C77" s="70"/>
      <c r="D77" s="32"/>
      <c r="E77"/>
      <c r="F77" s="32"/>
      <c r="H77"/>
      <c r="I77"/>
      <c r="K77" s="32"/>
      <c r="L77" s="32"/>
      <c r="M77"/>
      <c r="N77"/>
      <c r="O77" s="99"/>
      <c r="P77" s="99"/>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row>
    <row r="78" spans="1:81" s="84" customFormat="1" x14ac:dyDescent="0.2">
      <c r="A78" s="148" t="s">
        <v>736</v>
      </c>
      <c r="B78" s="212">
        <f>SUM(B75:B77)</f>
        <v>-204.36999999999992</v>
      </c>
      <c r="C78"/>
      <c r="D78"/>
      <c r="E78"/>
      <c r="F78" s="32"/>
      <c r="H78"/>
      <c r="I78"/>
      <c r="K78" s="32"/>
      <c r="L78" s="32"/>
      <c r="M78"/>
      <c r="N78"/>
      <c r="O78" s="99"/>
      <c r="P78" s="99"/>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row>
    <row r="79" spans="1:81" s="84" customFormat="1" x14ac:dyDescent="0.2">
      <c r="A79"/>
      <c r="B79"/>
      <c r="C79"/>
      <c r="D79" s="112"/>
      <c r="E79"/>
      <c r="F79" s="32"/>
      <c r="H79"/>
      <c r="I79"/>
      <c r="K79" s="32"/>
      <c r="L79" s="32"/>
      <c r="M79"/>
      <c r="N79"/>
      <c r="O79" s="99"/>
      <c r="P79" s="9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row>
    <row r="80" spans="1:81" x14ac:dyDescent="0.2">
      <c r="B80" s="47"/>
    </row>
    <row r="81" spans="2:2" x14ac:dyDescent="0.2">
      <c r="B81" s="216"/>
    </row>
  </sheetData>
  <mergeCells count="1">
    <mergeCell ref="O39:P39"/>
  </mergeCells>
  <printOptions gridLines="1"/>
  <pageMargins left="0.25" right="0.25" top="0.75" bottom="0.75" header="0.3" footer="0.3"/>
  <pageSetup paperSize="9" scale="61" orientation="portrait" r:id="rId1"/>
  <headerFooter alignWithMargins="0">
    <oddFooter>&amp;L&amp;F, &amp;A&amp;R&amp;D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75279-F392-4082-A6C8-9382BE1F1E3A}">
  <sheetPr>
    <pageSetUpPr fitToPage="1"/>
  </sheetPr>
  <dimension ref="A1:AR32"/>
  <sheetViews>
    <sheetView topLeftCell="A8" zoomScale="220" zoomScaleNormal="220" workbookViewId="0">
      <selection activeCell="D17" sqref="D17"/>
    </sheetView>
  </sheetViews>
  <sheetFormatPr defaultColWidth="8.85546875" defaultRowHeight="12.75" x14ac:dyDescent="0.2"/>
  <cols>
    <col min="1" max="1" width="6.42578125" customWidth="1"/>
    <col min="3" max="3" width="40.28515625" customWidth="1"/>
    <col min="4" max="4" width="9.140625" style="4" customWidth="1"/>
    <col min="5" max="5" width="10" style="201" customWidth="1"/>
    <col min="6" max="6" width="2.42578125" customWidth="1"/>
    <col min="7" max="7" width="8.28515625" style="4" bestFit="1" customWidth="1"/>
    <col min="8" max="8" width="10" style="201" customWidth="1"/>
    <col min="9" max="9" width="2.42578125" customWidth="1"/>
    <col min="10" max="10" width="9.140625" style="4" customWidth="1"/>
    <col min="11" max="11" width="11" style="195" bestFit="1" customWidth="1"/>
    <col min="12" max="12" width="2.42578125" customWidth="1"/>
    <col min="13" max="13" width="9.140625" style="4" customWidth="1"/>
    <col min="14" max="14" width="11.42578125" style="195" bestFit="1" customWidth="1"/>
    <col min="15" max="15" width="2.42578125" customWidth="1"/>
    <col min="16" max="16" width="9.140625" style="4" customWidth="1"/>
    <col min="17" max="17" width="11.42578125" customWidth="1"/>
    <col min="18" max="18" width="2.42578125" customWidth="1"/>
    <col min="19" max="19" width="9.140625" style="4" customWidth="1"/>
    <col min="21" max="21" width="2.42578125" customWidth="1"/>
    <col min="22" max="22" width="9.140625" style="4" customWidth="1"/>
    <col min="24" max="24" width="2.42578125" customWidth="1"/>
    <col min="25" max="25" width="9.140625" style="4" customWidth="1"/>
    <col min="27" max="27" width="2.42578125" customWidth="1"/>
    <col min="28" max="28" width="9.140625" style="4" customWidth="1"/>
    <col min="30" max="30" width="2.42578125" customWidth="1"/>
    <col min="31" max="31" width="9.140625" style="4" customWidth="1"/>
    <col min="33" max="33" width="2.42578125" customWidth="1"/>
    <col min="34" max="34" width="9.140625" style="4" customWidth="1"/>
    <col min="36" max="36" width="2.42578125" customWidth="1"/>
    <col min="39" max="39" width="2.42578125" customWidth="1"/>
  </cols>
  <sheetData>
    <row r="1" spans="1:41" ht="20.25" x14ac:dyDescent="0.3">
      <c r="A1" s="10" t="s">
        <v>69</v>
      </c>
    </row>
    <row r="3" spans="1:41" s="109" customFormat="1" x14ac:dyDescent="0.2">
      <c r="D3" s="239">
        <v>44561</v>
      </c>
      <c r="E3" s="240"/>
      <c r="G3" s="239">
        <v>44196</v>
      </c>
      <c r="H3" s="240"/>
      <c r="J3" s="239">
        <v>43830</v>
      </c>
      <c r="K3" s="240"/>
      <c r="M3" s="239">
        <v>43465</v>
      </c>
      <c r="N3" s="240"/>
      <c r="P3" s="239">
        <v>43100</v>
      </c>
      <c r="Q3" s="240"/>
      <c r="S3" s="247">
        <v>42735</v>
      </c>
      <c r="T3" s="247"/>
      <c r="V3" s="247">
        <v>42369</v>
      </c>
      <c r="W3" s="247"/>
      <c r="Y3" s="247">
        <v>42004</v>
      </c>
      <c r="Z3" s="247"/>
      <c r="AB3" s="247">
        <v>41639</v>
      </c>
      <c r="AC3" s="247"/>
      <c r="AE3" s="247">
        <v>41274</v>
      </c>
      <c r="AF3" s="247"/>
      <c r="AH3" s="247">
        <v>40908</v>
      </c>
      <c r="AI3" s="247"/>
      <c r="AK3" s="247">
        <v>40543</v>
      </c>
      <c r="AL3" s="247"/>
      <c r="AM3" s="110"/>
      <c r="AN3" s="247">
        <v>40178</v>
      </c>
      <c r="AO3" s="247"/>
    </row>
    <row r="4" spans="1:41" x14ac:dyDescent="0.2">
      <c r="D4" s="243" t="s">
        <v>73</v>
      </c>
      <c r="E4" s="244"/>
      <c r="G4" s="243" t="s">
        <v>73</v>
      </c>
      <c r="H4" s="244"/>
      <c r="J4" s="243" t="s">
        <v>73</v>
      </c>
      <c r="K4" s="244"/>
      <c r="M4" s="243" t="s">
        <v>73</v>
      </c>
      <c r="N4" s="244"/>
      <c r="P4" s="243" t="s">
        <v>73</v>
      </c>
      <c r="Q4" s="244"/>
      <c r="S4" s="248" t="s">
        <v>73</v>
      </c>
      <c r="T4" s="248"/>
      <c r="V4" s="248" t="s">
        <v>73</v>
      </c>
      <c r="W4" s="248"/>
      <c r="Y4" s="248" t="s">
        <v>73</v>
      </c>
      <c r="Z4" s="248"/>
      <c r="AB4" s="248" t="s">
        <v>73</v>
      </c>
      <c r="AC4" s="248"/>
      <c r="AE4" s="248" t="s">
        <v>73</v>
      </c>
      <c r="AF4" s="248"/>
      <c r="AH4" s="248" t="s">
        <v>73</v>
      </c>
      <c r="AI4" s="248"/>
      <c r="AK4" s="248" t="s">
        <v>73</v>
      </c>
      <c r="AL4" s="248"/>
      <c r="AM4" s="35"/>
      <c r="AN4" s="248" t="s">
        <v>73</v>
      </c>
      <c r="AO4" s="248"/>
    </row>
    <row r="5" spans="1:41" ht="15.75" x14ac:dyDescent="0.25">
      <c r="A5" s="2" t="s">
        <v>21</v>
      </c>
      <c r="E5" s="196"/>
      <c r="H5" s="196"/>
      <c r="K5" s="196"/>
      <c r="N5" s="196"/>
      <c r="Q5" s="173"/>
      <c r="T5" s="173"/>
      <c r="W5" s="8"/>
      <c r="Z5" s="8"/>
      <c r="AC5" s="8"/>
      <c r="AF5" s="8"/>
      <c r="AI5" s="8"/>
      <c r="AK5" s="5"/>
      <c r="AL5" s="8"/>
      <c r="AM5" s="7"/>
      <c r="AN5" s="5"/>
      <c r="AO5" s="8"/>
    </row>
    <row r="6" spans="1:41" s="12" customFormat="1" ht="19.5" customHeight="1" x14ac:dyDescent="0.2">
      <c r="A6" s="11" t="s">
        <v>23</v>
      </c>
      <c r="D6" s="68"/>
      <c r="E6" s="197"/>
      <c r="G6" s="68"/>
      <c r="H6" s="197"/>
      <c r="J6" s="68"/>
      <c r="K6" s="197"/>
      <c r="M6" s="68"/>
      <c r="N6" s="197"/>
      <c r="P6" s="68"/>
      <c r="Q6" s="188"/>
      <c r="S6" s="68"/>
      <c r="T6" s="188"/>
      <c r="V6" s="68"/>
      <c r="W6" s="14"/>
      <c r="Y6" s="68"/>
      <c r="Z6" s="14"/>
      <c r="AB6" s="68"/>
      <c r="AC6" s="14"/>
      <c r="AE6" s="68"/>
      <c r="AF6" s="14"/>
      <c r="AH6" s="68"/>
      <c r="AI6" s="14"/>
      <c r="AK6" s="13"/>
      <c r="AL6" s="14"/>
      <c r="AM6" s="36"/>
      <c r="AN6" s="13"/>
      <c r="AO6" s="14"/>
    </row>
    <row r="7" spans="1:41" x14ac:dyDescent="0.2">
      <c r="A7" t="s">
        <v>25</v>
      </c>
      <c r="E7" s="202">
        <v>0</v>
      </c>
      <c r="H7" s="202">
        <v>0</v>
      </c>
      <c r="K7" s="196">
        <v>0</v>
      </c>
      <c r="N7" s="196">
        <v>0</v>
      </c>
      <c r="Q7" s="173">
        <v>0</v>
      </c>
      <c r="T7" s="173">
        <v>0</v>
      </c>
      <c r="W7" s="8">
        <v>0</v>
      </c>
      <c r="Z7" s="8">
        <v>0</v>
      </c>
      <c r="AC7" s="8">
        <v>0</v>
      </c>
      <c r="AF7" s="8">
        <v>0</v>
      </c>
      <c r="AI7" s="8">
        <v>0</v>
      </c>
      <c r="AK7" s="5"/>
      <c r="AL7" s="8">
        <v>0</v>
      </c>
      <c r="AM7" s="7"/>
      <c r="AN7" s="5"/>
      <c r="AO7" s="8">
        <v>0</v>
      </c>
    </row>
    <row r="8" spans="1:41" x14ac:dyDescent="0.2">
      <c r="E8" s="196"/>
      <c r="H8" s="196"/>
      <c r="K8" s="196"/>
      <c r="N8" s="196"/>
      <c r="Q8" s="173"/>
      <c r="T8" s="173"/>
      <c r="W8" s="8"/>
      <c r="Z8" s="8"/>
      <c r="AC8" s="8"/>
      <c r="AF8" s="8"/>
      <c r="AI8" s="8"/>
      <c r="AK8" s="5"/>
      <c r="AL8" s="8"/>
      <c r="AM8" s="7"/>
      <c r="AN8" s="5"/>
      <c r="AO8" s="8"/>
    </row>
    <row r="9" spans="1:41" s="12" customFormat="1" ht="19.5" customHeight="1" x14ac:dyDescent="0.2">
      <c r="A9" s="11" t="s">
        <v>24</v>
      </c>
      <c r="D9" s="68"/>
      <c r="E9" s="197"/>
      <c r="G9" s="68"/>
      <c r="H9" s="197"/>
      <c r="J9" s="68"/>
      <c r="K9" s="197"/>
      <c r="M9" s="68"/>
      <c r="N9" s="197"/>
      <c r="P9" s="68"/>
      <c r="Q9" s="188"/>
      <c r="S9" s="68"/>
      <c r="T9" s="188"/>
      <c r="V9" s="68"/>
      <c r="W9" s="14"/>
      <c r="Y9" s="68"/>
      <c r="Z9" s="14"/>
      <c r="AB9" s="68"/>
      <c r="AC9" s="14"/>
      <c r="AE9" s="68"/>
      <c r="AF9" s="14"/>
      <c r="AH9" s="68"/>
      <c r="AI9" s="14"/>
      <c r="AK9" s="13"/>
      <c r="AL9" s="14"/>
      <c r="AM9" s="36"/>
      <c r="AN9" s="13"/>
      <c r="AO9" s="14"/>
    </row>
    <row r="10" spans="1:41" x14ac:dyDescent="0.2">
      <c r="A10" t="s">
        <v>26</v>
      </c>
      <c r="D10" s="193">
        <f>+'kolommenbalans 2021'!D43</f>
        <v>-305.83999999999992</v>
      </c>
      <c r="E10" s="196"/>
      <c r="G10" s="4">
        <v>-473.83999999999992</v>
      </c>
      <c r="H10" s="196"/>
      <c r="J10" s="4">
        <v>-164.07999999999993</v>
      </c>
      <c r="K10" s="198"/>
      <c r="M10" s="4">
        <f>+'kolommenbalans 2018'!D46</f>
        <v>199.92000000000002</v>
      </c>
      <c r="N10" s="198"/>
      <c r="P10" s="4">
        <v>1894.85</v>
      </c>
      <c r="Q10" s="189"/>
      <c r="S10" s="4">
        <f>+'balans 2016'!D10</f>
        <v>167.54</v>
      </c>
      <c r="T10" s="189"/>
      <c r="V10" s="4">
        <f>+'balans 2015'!D10</f>
        <v>163.28</v>
      </c>
      <c r="W10" s="15"/>
      <c r="Y10" s="4">
        <f>+'kolommenbalans 2014'!E29</f>
        <v>112.35</v>
      </c>
      <c r="Z10" s="15"/>
      <c r="AB10" s="4">
        <v>99.669999999999987</v>
      </c>
      <c r="AC10" s="15"/>
      <c r="AE10" s="4">
        <v>62.07</v>
      </c>
      <c r="AF10" s="15"/>
      <c r="AH10" s="4">
        <v>69.2</v>
      </c>
      <c r="AI10" s="15"/>
      <c r="AK10" s="5">
        <v>0</v>
      </c>
      <c r="AL10" s="15"/>
      <c r="AM10" s="26"/>
      <c r="AN10" s="5">
        <v>0</v>
      </c>
      <c r="AO10" s="15"/>
    </row>
    <row r="11" spans="1:41" ht="13.5" thickBot="1" x14ac:dyDescent="0.25">
      <c r="A11" s="70" t="s">
        <v>427</v>
      </c>
      <c r="D11" s="9">
        <f>+'kolommenbalans 2021'!B43+'kolommenbalans 2021'!C43</f>
        <v>10164.009999999993</v>
      </c>
      <c r="E11" s="196"/>
      <c r="G11" s="9">
        <v>7132.0099999999929</v>
      </c>
      <c r="H11" s="196"/>
      <c r="J11" s="164">
        <v>18260.939999999991</v>
      </c>
      <c r="K11" s="196"/>
      <c r="M11" s="9">
        <f>+'kolommenbalans 2018'!B46+'kolommenbalans 2018'!C46</f>
        <v>22356.939999999991</v>
      </c>
      <c r="N11" s="196"/>
      <c r="P11" s="9">
        <v>21340.339999999997</v>
      </c>
      <c r="Q11" s="173"/>
      <c r="S11" s="9">
        <f>+'balans 2016'!D11</f>
        <v>19843.679999999993</v>
      </c>
      <c r="T11" s="173"/>
      <c r="V11" s="4">
        <f>+'balans 2015'!D11</f>
        <v>21437.119999999995</v>
      </c>
      <c r="W11" s="8"/>
      <c r="Y11" s="9">
        <f>+'kolommenbalans 2014'!C29+'kolommenbalans 2014'!D29</f>
        <v>18681.909999999996</v>
      </c>
      <c r="Z11" s="8"/>
      <c r="AB11" s="9">
        <v>18624.18</v>
      </c>
      <c r="AC11" s="8"/>
      <c r="AE11" s="9">
        <v>11168.810000000001</v>
      </c>
      <c r="AF11" s="8"/>
      <c r="AH11" s="9">
        <v>10533.65</v>
      </c>
      <c r="AI11" s="8"/>
      <c r="AK11" s="6">
        <v>6086.88</v>
      </c>
      <c r="AL11" s="8"/>
      <c r="AM11" s="7"/>
      <c r="AN11" s="6">
        <v>635.5</v>
      </c>
      <c r="AO11" s="8"/>
    </row>
    <row r="12" spans="1:41" ht="13.5" thickBot="1" x14ac:dyDescent="0.25">
      <c r="E12" s="194">
        <f>+D11+D10</f>
        <v>9858.1699999999928</v>
      </c>
      <c r="H12" s="194">
        <v>6658.1699999999928</v>
      </c>
      <c r="K12" s="194">
        <v>18096.859999999993</v>
      </c>
      <c r="N12" s="194">
        <f>+M11+M10</f>
        <v>22556.85999999999</v>
      </c>
      <c r="Q12" s="194">
        <v>23235.189999999995</v>
      </c>
      <c r="T12" s="190">
        <f>+S11+S10</f>
        <v>20011.219999999994</v>
      </c>
      <c r="W12" s="16">
        <f>+V11+V10</f>
        <v>21600.399999999994</v>
      </c>
      <c r="Z12" s="16">
        <f>+Y11+Y10</f>
        <v>18794.259999999995</v>
      </c>
      <c r="AC12" s="16">
        <v>18723.849999999999</v>
      </c>
      <c r="AF12" s="16">
        <v>11230.880000000001</v>
      </c>
      <c r="AI12" s="16">
        <v>10602.85</v>
      </c>
      <c r="AK12" s="5"/>
      <c r="AL12" s="16">
        <v>6086.88</v>
      </c>
      <c r="AM12" s="7"/>
      <c r="AN12" s="5"/>
      <c r="AO12" s="16">
        <v>635.5</v>
      </c>
    </row>
    <row r="13" spans="1:41" s="20" customFormat="1" ht="19.5" customHeight="1" x14ac:dyDescent="0.2">
      <c r="A13" s="1"/>
      <c r="C13" s="107" t="s">
        <v>55</v>
      </c>
      <c r="D13" s="165"/>
      <c r="E13" s="203">
        <f>+E12</f>
        <v>9858.1699999999928</v>
      </c>
      <c r="F13" s="107"/>
      <c r="G13" s="165"/>
      <c r="H13" s="203">
        <v>6658.1699999999928</v>
      </c>
      <c r="I13" s="107"/>
      <c r="J13" s="165"/>
      <c r="K13" s="199">
        <v>18096.859999999993</v>
      </c>
      <c r="L13" s="107"/>
      <c r="M13" s="165"/>
      <c r="N13" s="196">
        <f>+N12+N7</f>
        <v>22556.85999999999</v>
      </c>
      <c r="O13" s="107"/>
      <c r="P13" s="165"/>
      <c r="Q13" s="191">
        <v>23235.19</v>
      </c>
      <c r="R13" s="107"/>
      <c r="S13" s="165"/>
      <c r="T13" s="191">
        <f>+T12+T7</f>
        <v>20011.219999999994</v>
      </c>
      <c r="U13" s="107"/>
      <c r="V13" s="165"/>
      <c r="W13" s="18">
        <f>+W12+W7</f>
        <v>21600.399999999994</v>
      </c>
      <c r="X13" s="107"/>
      <c r="Y13" s="165"/>
      <c r="Z13" s="18">
        <f>+Z12+Z7</f>
        <v>18794.259999999995</v>
      </c>
      <c r="AA13" s="107"/>
      <c r="AB13" s="165"/>
      <c r="AC13" s="18">
        <v>18723.849999999999</v>
      </c>
      <c r="AD13" s="107"/>
      <c r="AE13" s="165"/>
      <c r="AF13" s="18">
        <v>11230.880000000001</v>
      </c>
      <c r="AG13" s="107"/>
      <c r="AH13" s="165"/>
      <c r="AI13" s="18">
        <v>10602.85</v>
      </c>
      <c r="AJ13" s="107"/>
      <c r="AK13" s="37"/>
      <c r="AL13" s="18">
        <v>6086.88</v>
      </c>
      <c r="AM13" s="37"/>
      <c r="AN13" s="37"/>
      <c r="AO13" s="18">
        <v>635.5</v>
      </c>
    </row>
    <row r="14" spans="1:41" x14ac:dyDescent="0.2">
      <c r="E14" s="196"/>
      <c r="H14" s="196"/>
      <c r="K14" s="196"/>
      <c r="N14" s="196"/>
      <c r="Q14" s="173"/>
      <c r="T14" s="173"/>
      <c r="W14" s="8"/>
      <c r="Z14" s="8"/>
      <c r="AC14" s="8"/>
      <c r="AF14" s="8"/>
      <c r="AI14" s="8"/>
      <c r="AK14" s="5"/>
      <c r="AL14" s="8"/>
      <c r="AM14" s="7"/>
      <c r="AN14" s="5"/>
      <c r="AO14" s="8"/>
    </row>
    <row r="15" spans="1:41" ht="15.75" x14ac:dyDescent="0.25">
      <c r="A15" s="2" t="s">
        <v>22</v>
      </c>
      <c r="E15" s="196"/>
      <c r="H15" s="196"/>
      <c r="K15" s="196"/>
      <c r="N15" s="196"/>
      <c r="Q15" s="173"/>
      <c r="T15" s="173"/>
      <c r="W15" s="8"/>
      <c r="Z15" s="8"/>
      <c r="AC15" s="8"/>
      <c r="AF15" s="8"/>
      <c r="AI15" s="8"/>
      <c r="AK15" s="5"/>
      <c r="AL15" s="8"/>
      <c r="AM15" s="7"/>
      <c r="AN15" s="5"/>
      <c r="AO15" s="8"/>
    </row>
    <row r="16" spans="1:41" ht="19.5" customHeight="1" x14ac:dyDescent="0.2">
      <c r="A16" s="11" t="s">
        <v>29</v>
      </c>
      <c r="E16" s="196"/>
      <c r="H16" s="196"/>
      <c r="K16" s="196"/>
      <c r="N16" s="196"/>
      <c r="Q16" s="173"/>
      <c r="T16" s="173"/>
      <c r="W16" s="8"/>
      <c r="Z16" s="8"/>
      <c r="AC16" s="8"/>
      <c r="AF16" s="8"/>
      <c r="AI16" s="8"/>
      <c r="AK16" s="5"/>
      <c r="AL16" s="8"/>
      <c r="AM16" s="7"/>
      <c r="AN16" s="5"/>
      <c r="AO16" s="8"/>
    </row>
    <row r="17" spans="1:44" x14ac:dyDescent="0.2">
      <c r="A17" t="s">
        <v>28</v>
      </c>
      <c r="D17" s="4">
        <f>-'kolommenbalans 2021'!E43</f>
        <v>4698.17</v>
      </c>
      <c r="E17" s="196"/>
      <c r="G17" s="4">
        <v>-2801.8299999999981</v>
      </c>
      <c r="H17" s="196"/>
      <c r="J17" s="5">
        <v>15676.860000000002</v>
      </c>
      <c r="K17" s="196"/>
      <c r="M17" s="5">
        <f>-'kolommenbalans 2018'!G46</f>
        <v>4676.8600000000024</v>
      </c>
      <c r="N17" s="196"/>
      <c r="P17" s="5">
        <v>12645.189999999995</v>
      </c>
      <c r="Q17" s="173"/>
      <c r="S17" s="5">
        <f>+'balans 2016'!D17</f>
        <v>4230.5700000000015</v>
      </c>
      <c r="T17" s="173"/>
      <c r="V17" s="5">
        <f>-'balans 2015'!D17</f>
        <v>14848.090000000002</v>
      </c>
      <c r="W17" s="8"/>
      <c r="Y17" s="5">
        <f>-'kolommenbalans 2014'!F29</f>
        <v>12794.26</v>
      </c>
      <c r="Z17" s="8"/>
      <c r="AB17" s="5">
        <v>11223.85</v>
      </c>
      <c r="AC17" s="8"/>
      <c r="AE17" s="5">
        <v>635.5</v>
      </c>
      <c r="AF17" s="8"/>
      <c r="AH17" s="5">
        <v>635.5</v>
      </c>
      <c r="AI17" s="8"/>
      <c r="AK17" s="5">
        <v>635.5</v>
      </c>
      <c r="AL17" s="8"/>
      <c r="AM17" s="7"/>
      <c r="AN17" s="5">
        <v>635.5</v>
      </c>
      <c r="AO17" s="8"/>
    </row>
    <row r="18" spans="1:44" x14ac:dyDescent="0.2">
      <c r="A18" s="70" t="s">
        <v>428</v>
      </c>
      <c r="D18" s="193">
        <f>-'kolommenbalans 2021'!F43</f>
        <v>5160</v>
      </c>
      <c r="E18" s="196"/>
      <c r="G18" s="193">
        <v>9460</v>
      </c>
      <c r="H18" s="196"/>
      <c r="J18" s="5">
        <v>2420</v>
      </c>
      <c r="K18" s="196"/>
      <c r="M18" s="5">
        <f>-'kolommenbalans 2018'!H46</f>
        <v>17880</v>
      </c>
      <c r="N18" s="196"/>
      <c r="P18" s="5">
        <v>10590</v>
      </c>
      <c r="Q18" s="173"/>
      <c r="S18" s="5">
        <f>+'balans 2016'!D18</f>
        <v>15780.65</v>
      </c>
      <c r="T18" s="173"/>
      <c r="V18" s="5">
        <f>-'balans 2015'!D18</f>
        <v>6752.3099999999995</v>
      </c>
      <c r="W18" s="8"/>
      <c r="Y18" s="5">
        <f>-'kolommenbalans 2014'!G29</f>
        <v>6000</v>
      </c>
      <c r="Z18" s="8"/>
      <c r="AB18" s="5">
        <v>7500</v>
      </c>
      <c r="AC18" s="8"/>
      <c r="AE18" s="5">
        <v>1460</v>
      </c>
      <c r="AF18" s="8"/>
      <c r="AH18" s="5">
        <v>3130</v>
      </c>
      <c r="AI18" s="8"/>
      <c r="AK18" s="5">
        <v>0</v>
      </c>
      <c r="AL18" s="8"/>
      <c r="AM18" s="7"/>
      <c r="AN18" s="5">
        <v>0</v>
      </c>
      <c r="AO18" s="8"/>
    </row>
    <row r="19" spans="1:44" ht="13.5" thickBot="1" x14ac:dyDescent="0.25">
      <c r="A19" t="s">
        <v>17</v>
      </c>
      <c r="D19" s="9"/>
      <c r="E19" s="196"/>
      <c r="G19" s="9"/>
      <c r="H19" s="196"/>
      <c r="J19" s="9"/>
      <c r="K19" s="196"/>
      <c r="M19" s="9">
        <v>0</v>
      </c>
      <c r="N19" s="196"/>
      <c r="P19" s="9">
        <v>0</v>
      </c>
      <c r="Q19" s="173"/>
      <c r="S19" s="9">
        <v>0</v>
      </c>
      <c r="T19" s="173"/>
      <c r="V19" s="9">
        <v>0</v>
      </c>
      <c r="W19" s="8"/>
      <c r="Y19" s="9">
        <v>0</v>
      </c>
      <c r="Z19" s="8"/>
      <c r="AB19" s="9">
        <v>0</v>
      </c>
      <c r="AC19" s="8"/>
      <c r="AE19" s="9">
        <v>7458.3500000000013</v>
      </c>
      <c r="AF19" s="8"/>
      <c r="AH19" s="9">
        <v>-41.450000000000728</v>
      </c>
      <c r="AI19" s="8"/>
      <c r="AK19" s="6">
        <v>2458.5500000000002</v>
      </c>
      <c r="AL19" s="8"/>
      <c r="AM19" s="7"/>
      <c r="AN19" s="6">
        <v>0</v>
      </c>
      <c r="AO19" s="8"/>
    </row>
    <row r="20" spans="1:44" s="12" customFormat="1" ht="13.5" customHeight="1" x14ac:dyDescent="0.2">
      <c r="D20" s="68"/>
      <c r="E20" s="204">
        <f>+D18+D17</f>
        <v>9858.17</v>
      </c>
      <c r="G20" s="68"/>
      <c r="H20" s="204">
        <v>6658.1700000000019</v>
      </c>
      <c r="J20" s="68"/>
      <c r="K20" s="196">
        <v>18096.86</v>
      </c>
      <c r="M20" s="68"/>
      <c r="N20" s="196">
        <f>+M19+M17+M18</f>
        <v>22556.86</v>
      </c>
      <c r="P20" s="68"/>
      <c r="Q20" s="192">
        <v>23235.189999999995</v>
      </c>
      <c r="S20" s="68"/>
      <c r="T20" s="192">
        <f>+S19+S17+S18</f>
        <v>20011.22</v>
      </c>
      <c r="V20" s="68"/>
      <c r="W20" s="49">
        <f>+V19+V17+V18</f>
        <v>21600.400000000001</v>
      </c>
      <c r="Y20" s="68"/>
      <c r="Z20" s="49">
        <f>+Y19+Y17+Y18</f>
        <v>18794.260000000002</v>
      </c>
      <c r="AB20" s="68"/>
      <c r="AC20" s="49">
        <v>18723.849999999999</v>
      </c>
      <c r="AE20" s="68"/>
      <c r="AF20" s="49">
        <v>9553.8500000000022</v>
      </c>
      <c r="AH20" s="68"/>
      <c r="AI20" s="49">
        <v>3724.0499999999993</v>
      </c>
      <c r="AK20" s="13"/>
      <c r="AL20" s="49">
        <v>3094.05</v>
      </c>
      <c r="AM20" s="50"/>
      <c r="AN20" s="50"/>
      <c r="AO20" s="49">
        <v>635.5</v>
      </c>
    </row>
    <row r="21" spans="1:44" x14ac:dyDescent="0.2">
      <c r="E21" s="196"/>
      <c r="H21" s="196"/>
      <c r="K21" s="196"/>
      <c r="N21" s="196"/>
      <c r="Q21" s="173"/>
      <c r="T21" s="173"/>
      <c r="W21" s="8"/>
      <c r="Z21" s="8"/>
      <c r="AC21" s="8"/>
      <c r="AF21" s="8"/>
      <c r="AI21" s="8"/>
      <c r="AK21" s="5"/>
      <c r="AL21" s="8"/>
      <c r="AM21" s="7"/>
      <c r="AN21" s="5"/>
      <c r="AO21" s="8"/>
    </row>
    <row r="22" spans="1:44" s="12" customFormat="1" ht="13.5" thickBot="1" x14ac:dyDescent="0.25">
      <c r="A22" s="11" t="s">
        <v>30</v>
      </c>
      <c r="D22" s="68"/>
      <c r="E22" s="205">
        <v>0</v>
      </c>
      <c r="G22" s="68"/>
      <c r="H22" s="205">
        <v>0</v>
      </c>
      <c r="K22" s="194">
        <v>0</v>
      </c>
      <c r="N22" s="194">
        <v>0</v>
      </c>
      <c r="Q22" s="190">
        <v>0</v>
      </c>
      <c r="T22" s="190">
        <v>0</v>
      </c>
      <c r="W22" s="16">
        <v>0</v>
      </c>
      <c r="Z22" s="16">
        <v>0</v>
      </c>
      <c r="AC22" s="16">
        <v>0</v>
      </c>
      <c r="AF22" s="16">
        <v>1677.0299999999997</v>
      </c>
      <c r="AI22" s="16">
        <v>6879</v>
      </c>
      <c r="AK22" s="13"/>
      <c r="AL22" s="51">
        <v>2993.0299999999997</v>
      </c>
      <c r="AM22" s="36"/>
      <c r="AN22" s="13"/>
      <c r="AO22" s="17">
        <v>0</v>
      </c>
    </row>
    <row r="23" spans="1:44" s="20" customFormat="1" ht="19.5" customHeight="1" x14ac:dyDescent="0.2">
      <c r="C23" s="107" t="s">
        <v>55</v>
      </c>
      <c r="D23" s="165"/>
      <c r="E23" s="203">
        <f>+E20</f>
        <v>9858.17</v>
      </c>
      <c r="F23" s="107"/>
      <c r="G23" s="165"/>
      <c r="H23" s="203">
        <v>6658.1699999999928</v>
      </c>
      <c r="I23" s="107"/>
      <c r="J23" s="165"/>
      <c r="K23" s="199">
        <v>18096.86</v>
      </c>
      <c r="L23" s="107"/>
      <c r="M23" s="165"/>
      <c r="N23" s="199">
        <f>+N20</f>
        <v>22556.86</v>
      </c>
      <c r="O23" s="107"/>
      <c r="P23" s="165"/>
      <c r="Q23" s="191">
        <v>23235.189999999995</v>
      </c>
      <c r="R23" s="107"/>
      <c r="S23" s="165"/>
      <c r="T23" s="191">
        <f>+T20</f>
        <v>20011.22</v>
      </c>
      <c r="U23" s="107"/>
      <c r="V23" s="165"/>
      <c r="W23" s="18">
        <f>+W20</f>
        <v>21600.400000000001</v>
      </c>
      <c r="X23" s="107"/>
      <c r="Y23" s="165"/>
      <c r="Z23" s="18">
        <f>+Z20+Z22</f>
        <v>18794.260000000002</v>
      </c>
      <c r="AA23" s="107"/>
      <c r="AB23" s="165"/>
      <c r="AC23" s="18">
        <v>18723.849999999999</v>
      </c>
      <c r="AD23" s="107"/>
      <c r="AE23" s="165"/>
      <c r="AF23" s="18">
        <v>11230.880000000001</v>
      </c>
      <c r="AG23" s="107"/>
      <c r="AH23" s="165"/>
      <c r="AI23" s="18">
        <v>10603.05</v>
      </c>
      <c r="AJ23" s="107"/>
      <c r="AK23" s="166"/>
      <c r="AL23" s="18">
        <v>6087.08</v>
      </c>
      <c r="AM23" s="37"/>
      <c r="AN23" s="166"/>
      <c r="AO23" s="18">
        <v>635.5</v>
      </c>
    </row>
    <row r="24" spans="1:44" ht="19.5" customHeight="1" x14ac:dyDescent="0.2">
      <c r="E24" s="196"/>
      <c r="H24" s="196"/>
      <c r="K24" s="199"/>
      <c r="N24" s="199"/>
      <c r="Q24" s="191"/>
      <c r="T24" s="191"/>
      <c r="W24" s="18"/>
      <c r="Z24" s="18"/>
      <c r="AC24" s="18"/>
      <c r="AF24" s="18"/>
      <c r="AI24" s="18"/>
      <c r="AK24" s="5"/>
      <c r="AL24" s="18"/>
      <c r="AM24" s="37"/>
      <c r="AN24" s="5"/>
      <c r="AO24" s="18"/>
    </row>
    <row r="25" spans="1:44" ht="8.25" customHeight="1" x14ac:dyDescent="0.2">
      <c r="E25" s="196"/>
      <c r="H25" s="196"/>
      <c r="K25" s="199"/>
      <c r="N25" s="199"/>
      <c r="Q25" s="191"/>
      <c r="T25" s="191"/>
      <c r="W25" s="18"/>
      <c r="Z25" s="18"/>
      <c r="AC25" s="18"/>
      <c r="AF25" s="18"/>
      <c r="AI25" s="18"/>
      <c r="AK25" s="5"/>
      <c r="AL25" s="18"/>
      <c r="AM25" s="37"/>
      <c r="AN25" s="5"/>
      <c r="AO25" s="18"/>
    </row>
    <row r="26" spans="1:44" x14ac:dyDescent="0.2">
      <c r="AK26" s="5"/>
      <c r="AL26" s="7"/>
      <c r="AM26" s="7"/>
      <c r="AN26" s="5"/>
      <c r="AO26" s="7"/>
    </row>
    <row r="27" spans="1:44" x14ac:dyDescent="0.2">
      <c r="K27" s="200"/>
      <c r="N27" s="200"/>
      <c r="Q27" s="52"/>
      <c r="T27" s="52"/>
      <c r="W27" s="52"/>
      <c r="Z27" s="52"/>
      <c r="AC27" s="52"/>
      <c r="AF27" s="52"/>
      <c r="AI27" s="52"/>
    </row>
    <row r="28" spans="1:44" x14ac:dyDescent="0.2">
      <c r="A28" t="s">
        <v>31</v>
      </c>
      <c r="C28" s="147" t="s">
        <v>710</v>
      </c>
      <c r="AL28" s="22"/>
      <c r="AM28" s="22"/>
      <c r="AO28" s="22"/>
    </row>
    <row r="29" spans="1:44" x14ac:dyDescent="0.2">
      <c r="A29" s="70" t="s">
        <v>470</v>
      </c>
      <c r="K29" s="200">
        <f>+K23-K13</f>
        <v>0</v>
      </c>
      <c r="AR29" s="12"/>
    </row>
    <row r="30" spans="1:44" x14ac:dyDescent="0.2">
      <c r="A30" t="s">
        <v>471</v>
      </c>
    </row>
    <row r="32" spans="1:44" x14ac:dyDescent="0.2">
      <c r="E32" s="201">
        <f>+E13-E20</f>
        <v>0</v>
      </c>
    </row>
  </sheetData>
  <mergeCells count="26">
    <mergeCell ref="AH3:AI3"/>
    <mergeCell ref="AK3:AL3"/>
    <mergeCell ref="AN3:AO3"/>
    <mergeCell ref="G3:H3"/>
    <mergeCell ref="J3:K3"/>
    <mergeCell ref="M3:N3"/>
    <mergeCell ref="P3:Q3"/>
    <mergeCell ref="S3:T3"/>
    <mergeCell ref="V3:W3"/>
    <mergeCell ref="AH4:AI4"/>
    <mergeCell ref="AK4:AL4"/>
    <mergeCell ref="AN4:AO4"/>
    <mergeCell ref="G4:H4"/>
    <mergeCell ref="J4:K4"/>
    <mergeCell ref="M4:N4"/>
    <mergeCell ref="P4:Q4"/>
    <mergeCell ref="S4:T4"/>
    <mergeCell ref="V4:W4"/>
    <mergeCell ref="D3:E3"/>
    <mergeCell ref="D4:E4"/>
    <mergeCell ref="Y4:Z4"/>
    <mergeCell ref="AB4:AC4"/>
    <mergeCell ref="AE4:AF4"/>
    <mergeCell ref="Y3:Z3"/>
    <mergeCell ref="AB3:AC3"/>
    <mergeCell ref="AE3:AF3"/>
  </mergeCells>
  <pageMargins left="0.75" right="0.5" top="0.98" bottom="0.81" header="0.51" footer="0.51"/>
  <pageSetup paperSize="9" scale="81" orientation="landscape" r:id="rId1"/>
  <headerFooter alignWithMargins="0">
    <oddFooter>&amp;L&amp;F, &amp;A&amp;R&amp;D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F4058-528C-4F5F-A8C4-593C21342941}">
  <sheetPr>
    <pageSetUpPr fitToPage="1"/>
  </sheetPr>
  <dimension ref="A1:AL65"/>
  <sheetViews>
    <sheetView zoomScale="101" zoomScaleNormal="100" workbookViewId="0">
      <selection activeCell="E29" sqref="E29"/>
    </sheetView>
  </sheetViews>
  <sheetFormatPr defaultColWidth="8.85546875" defaultRowHeight="12.75" x14ac:dyDescent="0.2"/>
  <cols>
    <col min="1" max="1" width="2.42578125" customWidth="1"/>
    <col min="2" max="2" width="6.85546875" customWidth="1"/>
    <col min="3" max="3" width="25.85546875" customWidth="1"/>
    <col min="4" max="4" width="10.28515625" style="32" bestFit="1" customWidth="1"/>
    <col min="5" max="5" width="9.7109375" style="4" customWidth="1"/>
    <col min="6" max="6" width="2.42578125" customWidth="1"/>
    <col min="7" max="7" width="10.140625" style="32" customWidth="1"/>
    <col min="8" max="8" width="10.28515625" style="4" customWidth="1"/>
    <col min="9" max="9" width="2.42578125" customWidth="1"/>
    <col min="10" max="10" width="10.140625" style="32" bestFit="1" customWidth="1"/>
    <col min="11" max="11" width="10.140625" bestFit="1" customWidth="1"/>
    <col min="12" max="12" width="2.42578125" customWidth="1"/>
    <col min="13" max="13" width="10.28515625" style="32" bestFit="1" customWidth="1"/>
    <col min="14" max="14" width="10.28515625" bestFit="1" customWidth="1"/>
    <col min="15" max="15" width="2.42578125" customWidth="1"/>
    <col min="16" max="16" width="10.28515625" style="32" bestFit="1" customWidth="1"/>
    <col min="17" max="17" width="10.28515625" bestFit="1" customWidth="1"/>
    <col min="18" max="18" width="2.42578125" customWidth="1"/>
    <col min="19" max="19" width="10.28515625" style="32" customWidth="1"/>
    <col min="21" max="21" width="2.42578125" customWidth="1"/>
    <col min="22" max="22" width="10.28515625" style="4" bestFit="1" customWidth="1"/>
    <col min="24" max="24" width="2.42578125" customWidth="1"/>
    <col min="26" max="26" width="10.28515625" bestFit="1" customWidth="1"/>
    <col min="27" max="27" width="2.42578125" customWidth="1"/>
    <col min="30" max="30" width="2.42578125" customWidth="1"/>
    <col min="31" max="31" width="9.140625" style="5" customWidth="1"/>
    <col min="33" max="33" width="2.42578125" customWidth="1"/>
    <col min="35" max="35" width="10.28515625" customWidth="1"/>
    <col min="36" max="36" width="2.42578125" customWidth="1"/>
    <col min="38" max="38" width="10.28515625" customWidth="1"/>
  </cols>
  <sheetData>
    <row r="1" spans="1:38" ht="20.25" x14ac:dyDescent="0.3">
      <c r="A1" s="10" t="s">
        <v>74</v>
      </c>
    </row>
    <row r="3" spans="1:38" x14ac:dyDescent="0.2">
      <c r="D3" s="235" t="s">
        <v>702</v>
      </c>
      <c r="E3" s="236"/>
      <c r="G3" s="235" t="s">
        <v>640</v>
      </c>
      <c r="H3" s="236"/>
      <c r="J3" s="249" t="s">
        <v>587</v>
      </c>
      <c r="K3" s="236"/>
      <c r="M3" s="249" t="s">
        <v>513</v>
      </c>
      <c r="N3" s="236"/>
      <c r="O3" s="27"/>
      <c r="P3" s="249" t="s">
        <v>439</v>
      </c>
      <c r="Q3" s="236"/>
      <c r="R3" s="27"/>
      <c r="S3" s="249" t="s">
        <v>369</v>
      </c>
      <c r="T3" s="236"/>
      <c r="U3" s="27"/>
      <c r="V3" s="249" t="s">
        <v>343</v>
      </c>
      <c r="W3" s="236"/>
      <c r="X3" s="27"/>
      <c r="Y3" s="249" t="s">
        <v>290</v>
      </c>
      <c r="Z3" s="236"/>
      <c r="AA3" s="27"/>
      <c r="AB3" s="249" t="s">
        <v>244</v>
      </c>
      <c r="AC3" s="236"/>
      <c r="AD3" s="27"/>
      <c r="AE3" s="249" t="s">
        <v>230</v>
      </c>
      <c r="AF3" s="236"/>
      <c r="AH3" s="250" t="s">
        <v>368</v>
      </c>
      <c r="AI3" s="236"/>
      <c r="AK3" s="251" t="s">
        <v>75</v>
      </c>
      <c r="AL3" s="236"/>
    </row>
    <row r="4" spans="1:38" x14ac:dyDescent="0.2">
      <c r="D4" s="232" t="s">
        <v>73</v>
      </c>
      <c r="E4" s="231"/>
      <c r="G4" s="232" t="s">
        <v>73</v>
      </c>
      <c r="H4" s="231"/>
      <c r="J4" s="232" t="s">
        <v>73</v>
      </c>
      <c r="K4" s="231"/>
      <c r="M4" s="232" t="s">
        <v>73</v>
      </c>
      <c r="N4" s="231"/>
      <c r="O4" s="28"/>
      <c r="P4" s="232" t="s">
        <v>73</v>
      </c>
      <c r="Q4" s="231"/>
      <c r="R4" s="28"/>
      <c r="S4" s="232" t="s">
        <v>73</v>
      </c>
      <c r="T4" s="231"/>
      <c r="U4" s="28"/>
      <c r="V4" s="232" t="s">
        <v>73</v>
      </c>
      <c r="W4" s="231"/>
      <c r="X4" s="28"/>
      <c r="Y4" s="232" t="s">
        <v>73</v>
      </c>
      <c r="Z4" s="231"/>
      <c r="AA4" s="28"/>
      <c r="AB4" s="232" t="s">
        <v>73</v>
      </c>
      <c r="AC4" s="231"/>
      <c r="AD4" s="28"/>
      <c r="AE4" s="232" t="s">
        <v>73</v>
      </c>
      <c r="AF4" s="231"/>
      <c r="AH4" s="232" t="s">
        <v>73</v>
      </c>
      <c r="AI4" s="231"/>
      <c r="AK4" s="232" t="s">
        <v>73</v>
      </c>
      <c r="AL4" s="231"/>
    </row>
    <row r="5" spans="1:38" ht="15.75" x14ac:dyDescent="0.25">
      <c r="A5" s="2" t="s">
        <v>0</v>
      </c>
      <c r="E5" s="8"/>
      <c r="G5" s="44"/>
      <c r="H5" s="8"/>
      <c r="J5" s="44"/>
      <c r="K5" s="8"/>
      <c r="M5" s="44"/>
      <c r="N5" s="8"/>
      <c r="O5" s="7"/>
      <c r="P5" s="44"/>
      <c r="Q5" s="8"/>
      <c r="R5" s="7"/>
      <c r="S5" s="44"/>
      <c r="T5" s="8"/>
      <c r="U5" s="7"/>
      <c r="V5" s="44"/>
      <c r="W5" s="8"/>
      <c r="X5" s="7"/>
      <c r="Y5" s="5"/>
      <c r="Z5" s="8"/>
      <c r="AA5" s="7"/>
      <c r="AB5" s="5"/>
      <c r="AC5" s="8"/>
      <c r="AD5" s="7"/>
      <c r="AF5" s="8"/>
      <c r="AH5" s="5"/>
      <c r="AI5" s="8"/>
      <c r="AK5" s="5"/>
      <c r="AL5" s="8"/>
    </row>
    <row r="6" spans="1:38" x14ac:dyDescent="0.2">
      <c r="A6" t="s">
        <v>11</v>
      </c>
      <c r="D6" s="32">
        <f>-'kolommenbalans 2021'!H34</f>
        <v>7500</v>
      </c>
      <c r="E6" s="8"/>
      <c r="G6" s="32">
        <v>7500</v>
      </c>
      <c r="H6" s="8"/>
      <c r="J6" s="32">
        <f>+'winst en verlies 2019'!D6</f>
        <v>30965.32</v>
      </c>
      <c r="K6" s="8"/>
      <c r="M6" s="32">
        <f>'kolommenbalans 2018'!K44</f>
        <v>19796.57</v>
      </c>
      <c r="N6" s="8"/>
      <c r="O6" s="7"/>
      <c r="P6" s="32">
        <v>20251.940000000002</v>
      </c>
      <c r="Q6" s="8"/>
      <c r="R6" s="7"/>
      <c r="S6" s="32">
        <v>18100</v>
      </c>
      <c r="T6" s="8"/>
      <c r="U6" s="7"/>
      <c r="V6" s="32">
        <v>21500</v>
      </c>
      <c r="W6" s="8"/>
      <c r="X6" s="7"/>
      <c r="Y6" s="4">
        <v>7500</v>
      </c>
      <c r="Z6" s="8"/>
      <c r="AA6" s="7"/>
      <c r="AC6" s="8"/>
      <c r="AD6" s="7"/>
      <c r="AE6"/>
      <c r="AF6" s="8"/>
      <c r="AH6" s="5">
        <v>7500</v>
      </c>
      <c r="AI6" s="8"/>
      <c r="AL6" s="8"/>
    </row>
    <row r="7" spans="1:38" x14ac:dyDescent="0.2">
      <c r="A7" t="s">
        <v>1</v>
      </c>
      <c r="E7" s="8"/>
      <c r="G7" s="32">
        <v>0</v>
      </c>
      <c r="H7" s="8"/>
      <c r="J7" s="32">
        <v>0</v>
      </c>
      <c r="K7" s="8"/>
      <c r="M7" s="32">
        <v>0</v>
      </c>
      <c r="N7" s="8"/>
      <c r="O7" s="7"/>
      <c r="P7" s="32">
        <v>0</v>
      </c>
      <c r="Q7" s="8"/>
      <c r="R7" s="7"/>
      <c r="S7" s="32">
        <f>+'winst en verlies 2016'!G7</f>
        <v>0</v>
      </c>
      <c r="T7" s="8"/>
      <c r="U7" s="7"/>
      <c r="V7" s="32">
        <v>0</v>
      </c>
      <c r="W7" s="8"/>
      <c r="X7" s="7"/>
      <c r="Y7" s="5">
        <v>0</v>
      </c>
      <c r="Z7" s="8"/>
      <c r="AA7" s="7"/>
      <c r="AB7" s="5">
        <v>0</v>
      </c>
      <c r="AC7" s="8"/>
      <c r="AD7" s="7"/>
      <c r="AE7" s="5">
        <v>0</v>
      </c>
      <c r="AF7" s="8"/>
      <c r="AH7" s="5">
        <v>0</v>
      </c>
      <c r="AI7" s="8"/>
      <c r="AK7" s="5">
        <v>0</v>
      </c>
      <c r="AL7" s="8"/>
    </row>
    <row r="8" spans="1:38" x14ac:dyDescent="0.2">
      <c r="A8" t="s">
        <v>2</v>
      </c>
      <c r="E8" s="8"/>
      <c r="G8" s="32">
        <v>0</v>
      </c>
      <c r="H8" s="8"/>
      <c r="J8" s="32">
        <v>0</v>
      </c>
      <c r="K8" s="8"/>
      <c r="M8" s="32">
        <v>0</v>
      </c>
      <c r="N8" s="8"/>
      <c r="O8" s="7"/>
      <c r="P8" s="32">
        <v>0</v>
      </c>
      <c r="Q8" s="8"/>
      <c r="R8" s="7"/>
      <c r="S8" s="32">
        <f>+'winst en verlies 2016'!G8</f>
        <v>0</v>
      </c>
      <c r="T8" s="8"/>
      <c r="U8" s="7"/>
      <c r="V8" s="32">
        <v>0</v>
      </c>
      <c r="W8" s="8"/>
      <c r="X8" s="7"/>
      <c r="Y8" s="5">
        <v>0</v>
      </c>
      <c r="Z8" s="8"/>
      <c r="AA8" s="7"/>
      <c r="AB8" s="5">
        <v>7500</v>
      </c>
      <c r="AC8" s="8"/>
      <c r="AD8" s="7"/>
      <c r="AE8" s="5">
        <v>7500</v>
      </c>
      <c r="AF8" s="8"/>
      <c r="AH8" s="5"/>
      <c r="AI8" s="8"/>
      <c r="AK8" s="5">
        <v>7500</v>
      </c>
      <c r="AL8" s="8"/>
    </row>
    <row r="9" spans="1:38" x14ac:dyDescent="0.2">
      <c r="A9" s="70" t="s">
        <v>432</v>
      </c>
      <c r="D9" s="32">
        <f>+'kolommenbalans 2021'!D37</f>
        <v>168.00000000000003</v>
      </c>
      <c r="E9" s="8"/>
      <c r="G9" s="32">
        <v>168.92999999999998</v>
      </c>
      <c r="H9" s="8"/>
      <c r="J9" s="32">
        <f>+'winst en verlies 2019'!D9</f>
        <v>253.60000000000002</v>
      </c>
      <c r="K9" s="8"/>
      <c r="M9" s="32">
        <f>-'kolommenbalans 2018'!N38</f>
        <v>119.92</v>
      </c>
      <c r="N9" s="8"/>
      <c r="O9" s="7"/>
      <c r="P9" s="32">
        <v>173.56</v>
      </c>
      <c r="Q9" s="8"/>
      <c r="R9" s="7"/>
      <c r="S9" s="32">
        <v>334.54</v>
      </c>
      <c r="T9" s="8"/>
      <c r="U9" s="7"/>
      <c r="V9" s="32"/>
      <c r="W9" s="8"/>
      <c r="X9" s="7"/>
      <c r="Y9" s="5"/>
      <c r="Z9" s="8"/>
      <c r="AA9" s="7"/>
      <c r="AB9" s="5"/>
      <c r="AC9" s="8"/>
      <c r="AD9" s="7"/>
      <c r="AF9" s="8"/>
      <c r="AH9" s="5"/>
      <c r="AI9" s="8"/>
      <c r="AK9" s="5"/>
      <c r="AL9" s="8"/>
    </row>
    <row r="10" spans="1:38" ht="13.5" thickBot="1" x14ac:dyDescent="0.25">
      <c r="A10" s="70" t="s">
        <v>431</v>
      </c>
      <c r="D10" s="103">
        <f>'kolommenbalans 2018'!C44</f>
        <v>0</v>
      </c>
      <c r="E10" s="8"/>
      <c r="G10" s="103">
        <v>0</v>
      </c>
      <c r="H10" s="8"/>
      <c r="J10" s="103">
        <f>'kolommenbalans 2018'!I44</f>
        <v>0</v>
      </c>
      <c r="K10" s="8"/>
      <c r="M10" s="103">
        <f>'kolommenbalans 2018'!L44</f>
        <v>3.67</v>
      </c>
      <c r="N10" s="8"/>
      <c r="O10" s="7"/>
      <c r="P10" s="103">
        <v>14.62</v>
      </c>
      <c r="Q10" s="8"/>
      <c r="R10" s="7"/>
      <c r="S10" s="103">
        <v>32.479999999999997</v>
      </c>
      <c r="T10" s="8"/>
      <c r="U10" s="7"/>
      <c r="V10" s="103">
        <v>217.11</v>
      </c>
      <c r="W10" s="8"/>
      <c r="X10" s="7"/>
      <c r="Y10" s="6">
        <v>183</v>
      </c>
      <c r="Z10" s="8"/>
      <c r="AA10" s="7"/>
      <c r="AB10" s="6">
        <v>112</v>
      </c>
      <c r="AC10" s="8"/>
      <c r="AD10" s="7"/>
      <c r="AE10" s="6">
        <v>62</v>
      </c>
      <c r="AF10" s="8"/>
      <c r="AH10" s="6">
        <v>100</v>
      </c>
      <c r="AI10" s="8"/>
      <c r="AK10" s="6">
        <v>86.56</v>
      </c>
      <c r="AL10" s="8"/>
    </row>
    <row r="11" spans="1:38" ht="19.5" customHeight="1" x14ac:dyDescent="0.2">
      <c r="A11" s="3" t="s">
        <v>3</v>
      </c>
      <c r="D11" s="86"/>
      <c r="E11" s="8">
        <f>SUM(D6:D10)</f>
        <v>7668</v>
      </c>
      <c r="G11" s="86"/>
      <c r="H11" s="8">
        <v>7668.93</v>
      </c>
      <c r="J11" s="86"/>
      <c r="K11" s="8">
        <f>SUM(J6:J10)</f>
        <v>31218.92</v>
      </c>
      <c r="M11" s="86"/>
      <c r="N11" s="8">
        <f>SUM(M6:M10)</f>
        <v>19920.159999999996</v>
      </c>
      <c r="O11" s="7"/>
      <c r="P11" s="86"/>
      <c r="Q11" s="8">
        <v>20440.120000000003</v>
      </c>
      <c r="R11" s="7"/>
      <c r="S11" s="86"/>
      <c r="T11" s="8">
        <f>SUM(S6:S10)</f>
        <v>18467.02</v>
      </c>
      <c r="U11" s="7"/>
      <c r="V11" s="86"/>
      <c r="W11" s="8">
        <v>21717.11</v>
      </c>
      <c r="X11" s="7"/>
      <c r="Y11" s="7"/>
      <c r="Z11" s="8">
        <f>SUM(Y6:Y10)</f>
        <v>7683</v>
      </c>
      <c r="AA11" s="7"/>
      <c r="AB11" s="7"/>
      <c r="AC11" s="8">
        <f>SUM(AB7:AB10)</f>
        <v>7612</v>
      </c>
      <c r="AD11" s="7"/>
      <c r="AE11" s="7"/>
      <c r="AF11" s="8">
        <f>SUM(AE7:AE10)</f>
        <v>7562</v>
      </c>
      <c r="AH11" s="7"/>
      <c r="AI11" s="8">
        <f>SUM(AH6:AH10)</f>
        <v>7600</v>
      </c>
      <c r="AK11" s="7"/>
      <c r="AL11" s="8">
        <v>7586.56</v>
      </c>
    </row>
    <row r="12" spans="1:38" x14ac:dyDescent="0.2">
      <c r="E12" s="8"/>
      <c r="G12" s="44"/>
      <c r="H12" s="8"/>
      <c r="J12" s="44"/>
      <c r="K12" s="8"/>
      <c r="M12" s="44"/>
      <c r="N12" s="8"/>
      <c r="O12" s="7"/>
      <c r="P12" s="44"/>
      <c r="Q12" s="8"/>
      <c r="R12" s="7"/>
      <c r="S12" s="44"/>
      <c r="T12" s="8"/>
      <c r="U12" s="7"/>
      <c r="V12" s="44"/>
      <c r="W12" s="8"/>
      <c r="X12" s="7"/>
      <c r="Y12" s="5"/>
      <c r="Z12" s="8"/>
      <c r="AA12" s="7"/>
      <c r="AB12" s="5"/>
      <c r="AC12" s="8"/>
      <c r="AD12" s="7"/>
      <c r="AF12" s="8"/>
      <c r="AH12" s="5"/>
      <c r="AI12" s="8"/>
      <c r="AK12" s="5"/>
      <c r="AL12" s="8"/>
    </row>
    <row r="13" spans="1:38" x14ac:dyDescent="0.2">
      <c r="A13" t="s">
        <v>4</v>
      </c>
      <c r="D13" s="44">
        <v>0</v>
      </c>
      <c r="E13" s="8"/>
      <c r="G13" s="44">
        <v>0</v>
      </c>
      <c r="H13" s="8"/>
      <c r="J13" s="44">
        <v>0</v>
      </c>
      <c r="K13" s="8"/>
      <c r="M13" s="44">
        <v>0</v>
      </c>
      <c r="N13" s="8"/>
      <c r="O13" s="7"/>
      <c r="P13" s="44">
        <v>0</v>
      </c>
      <c r="Q13" s="8"/>
      <c r="R13" s="7"/>
      <c r="S13" s="44">
        <v>0</v>
      </c>
      <c r="T13" s="8"/>
      <c r="U13" s="7"/>
      <c r="V13" s="44">
        <v>0</v>
      </c>
      <c r="W13" s="8"/>
      <c r="X13" s="7"/>
      <c r="Y13" s="5">
        <v>0</v>
      </c>
      <c r="Z13" s="8"/>
      <c r="AA13" s="7"/>
      <c r="AB13" s="5">
        <v>0</v>
      </c>
      <c r="AC13" s="8"/>
      <c r="AD13" s="7"/>
      <c r="AE13" s="5">
        <v>0</v>
      </c>
      <c r="AF13" s="8"/>
      <c r="AH13" s="5">
        <v>0</v>
      </c>
      <c r="AI13" s="8"/>
      <c r="AK13" s="5">
        <v>0</v>
      </c>
      <c r="AL13" s="8"/>
    </row>
    <row r="14" spans="1:38" ht="13.5" thickBot="1" x14ac:dyDescent="0.25">
      <c r="A14" t="s">
        <v>5</v>
      </c>
      <c r="D14" s="85">
        <v>0</v>
      </c>
      <c r="E14" s="8"/>
      <c r="G14" s="85">
        <v>0</v>
      </c>
      <c r="H14" s="8"/>
      <c r="J14" s="85">
        <v>0</v>
      </c>
      <c r="K14" s="8"/>
      <c r="M14" s="85">
        <v>0</v>
      </c>
      <c r="N14" s="8"/>
      <c r="O14" s="7"/>
      <c r="P14" s="85">
        <v>0</v>
      </c>
      <c r="Q14" s="8"/>
      <c r="R14" s="7"/>
      <c r="S14" s="85">
        <v>0</v>
      </c>
      <c r="T14" s="8"/>
      <c r="U14" s="7"/>
      <c r="V14" s="85">
        <v>0</v>
      </c>
      <c r="W14" s="8"/>
      <c r="X14" s="7"/>
      <c r="Y14" s="6">
        <v>0</v>
      </c>
      <c r="Z14" s="8"/>
      <c r="AA14" s="7"/>
      <c r="AB14" s="6">
        <v>0</v>
      </c>
      <c r="AC14" s="8"/>
      <c r="AD14" s="7"/>
      <c r="AE14" s="6">
        <v>0</v>
      </c>
      <c r="AF14" s="8"/>
      <c r="AH14" s="6">
        <v>0</v>
      </c>
      <c r="AI14" s="8"/>
      <c r="AK14" s="6">
        <v>0</v>
      </c>
      <c r="AL14" s="8"/>
    </row>
    <row r="15" spans="1:38" ht="19.5" customHeight="1" x14ac:dyDescent="0.2">
      <c r="A15" s="3" t="s">
        <v>6</v>
      </c>
      <c r="E15" s="8">
        <f>-SUM(D13:D14)</f>
        <v>0</v>
      </c>
      <c r="G15" s="86"/>
      <c r="H15" s="8">
        <v>0</v>
      </c>
      <c r="J15" s="86"/>
      <c r="K15" s="8">
        <f>-SUM(J13:J14)</f>
        <v>0</v>
      </c>
      <c r="M15" s="86"/>
      <c r="N15" s="8">
        <f>-SUM(M13:M14)</f>
        <v>0</v>
      </c>
      <c r="O15" s="7"/>
      <c r="P15" s="86"/>
      <c r="Q15" s="8">
        <v>0</v>
      </c>
      <c r="R15" s="7"/>
      <c r="S15" s="86"/>
      <c r="T15" s="8">
        <f>-SUM(S13:S14)</f>
        <v>0</v>
      </c>
      <c r="U15" s="7"/>
      <c r="V15" s="86"/>
      <c r="W15" s="8">
        <v>0</v>
      </c>
      <c r="X15" s="7"/>
      <c r="Y15" s="7"/>
      <c r="Z15" s="8">
        <f>-SUM(Y13:Y14)</f>
        <v>0</v>
      </c>
      <c r="AA15" s="7"/>
      <c r="AB15" s="7"/>
      <c r="AC15" s="8">
        <f>-SUM(AB13:AB14)</f>
        <v>0</v>
      </c>
      <c r="AD15" s="7"/>
      <c r="AE15" s="7"/>
      <c r="AF15" s="8">
        <f>-SUM(AE13:AE14)</f>
        <v>0</v>
      </c>
      <c r="AH15" s="7"/>
      <c r="AI15" s="8">
        <f>-SUM(AH13:AH14)</f>
        <v>0</v>
      </c>
      <c r="AK15" s="7"/>
      <c r="AL15" s="8">
        <v>0</v>
      </c>
    </row>
    <row r="16" spans="1:38" ht="13.5" thickBot="1" x14ac:dyDescent="0.25">
      <c r="A16" t="s">
        <v>14</v>
      </c>
      <c r="E16" s="19">
        <f>+E15/E11</f>
        <v>0</v>
      </c>
      <c r="G16" s="44"/>
      <c r="H16" s="19">
        <f>+H15/H11</f>
        <v>0</v>
      </c>
      <c r="J16" s="44"/>
      <c r="K16" s="19">
        <f>+K15/K11</f>
        <v>0</v>
      </c>
      <c r="M16" s="44"/>
      <c r="N16" s="19">
        <f>+N15/N11</f>
        <v>0</v>
      </c>
      <c r="O16" s="26"/>
      <c r="P16" s="44"/>
      <c r="Q16" s="19">
        <v>0</v>
      </c>
      <c r="R16" s="26"/>
      <c r="S16" s="44"/>
      <c r="T16" s="19">
        <f>+T15/T11</f>
        <v>0</v>
      </c>
      <c r="U16" s="26"/>
      <c r="V16" s="44"/>
      <c r="W16" s="19">
        <v>0</v>
      </c>
      <c r="X16" s="26"/>
      <c r="Y16" s="5"/>
      <c r="Z16" s="19">
        <f>+Z15/Z11</f>
        <v>0</v>
      </c>
      <c r="AA16" s="26"/>
      <c r="AB16" s="5"/>
      <c r="AC16" s="19">
        <f>+AC15/AC11</f>
        <v>0</v>
      </c>
      <c r="AD16" s="26"/>
      <c r="AF16" s="19">
        <f>+AF15/AF11</f>
        <v>0</v>
      </c>
      <c r="AH16" s="5"/>
      <c r="AI16" s="19">
        <f>+AI15/AI11</f>
        <v>0</v>
      </c>
      <c r="AK16" s="5"/>
      <c r="AL16" s="19">
        <v>0</v>
      </c>
    </row>
    <row r="17" spans="1:38" ht="19.5" customHeight="1" x14ac:dyDescent="0.2">
      <c r="A17" s="3" t="s">
        <v>8</v>
      </c>
      <c r="E17" s="8">
        <f>+E11+E15</f>
        <v>7668</v>
      </c>
      <c r="G17" s="86"/>
      <c r="H17" s="8">
        <v>7668.93</v>
      </c>
      <c r="J17" s="86"/>
      <c r="K17" s="8">
        <f>+K11+K15</f>
        <v>31218.92</v>
      </c>
      <c r="M17" s="86"/>
      <c r="N17" s="8">
        <f>+N11+N15</f>
        <v>19920.159999999996</v>
      </c>
      <c r="O17" s="7"/>
      <c r="P17" s="86"/>
      <c r="Q17" s="8">
        <v>20440.120000000003</v>
      </c>
      <c r="R17" s="7"/>
      <c r="S17" s="86"/>
      <c r="T17" s="8">
        <f>+T11+T15</f>
        <v>18467.02</v>
      </c>
      <c r="U17" s="7"/>
      <c r="V17" s="86"/>
      <c r="W17" s="8">
        <v>21717.11</v>
      </c>
      <c r="X17" s="7"/>
      <c r="Y17" s="7"/>
      <c r="Z17" s="8">
        <f>+Z11+Z15</f>
        <v>7683</v>
      </c>
      <c r="AA17" s="7"/>
      <c r="AB17" s="7"/>
      <c r="AC17" s="8">
        <f>+AC11+AC15</f>
        <v>7612</v>
      </c>
      <c r="AD17" s="7"/>
      <c r="AE17" s="7"/>
      <c r="AF17" s="8">
        <f>+AF11+AF15</f>
        <v>7562</v>
      </c>
      <c r="AH17" s="7"/>
      <c r="AI17" s="8">
        <f>+AI11+AI15</f>
        <v>7600</v>
      </c>
      <c r="AK17" s="7"/>
      <c r="AL17" s="8">
        <v>7586.56</v>
      </c>
    </row>
    <row r="18" spans="1:38" ht="13.5" thickBot="1" x14ac:dyDescent="0.25">
      <c r="A18" t="s">
        <v>7</v>
      </c>
      <c r="E18" s="16">
        <v>0</v>
      </c>
      <c r="G18" s="44"/>
      <c r="H18" s="16">
        <v>0</v>
      </c>
      <c r="J18" s="44"/>
      <c r="K18" s="16">
        <v>0</v>
      </c>
      <c r="M18" s="44"/>
      <c r="N18" s="16">
        <v>0</v>
      </c>
      <c r="O18" s="7"/>
      <c r="P18" s="44"/>
      <c r="Q18" s="16">
        <v>0</v>
      </c>
      <c r="R18" s="7"/>
      <c r="S18" s="44"/>
      <c r="T18" s="16">
        <v>0</v>
      </c>
      <c r="U18" s="7"/>
      <c r="V18" s="44"/>
      <c r="W18" s="16">
        <v>0</v>
      </c>
      <c r="X18" s="7"/>
      <c r="Y18" s="5"/>
      <c r="Z18" s="16">
        <v>0</v>
      </c>
      <c r="AA18" s="7"/>
      <c r="AB18" s="5"/>
      <c r="AC18" s="16">
        <v>0</v>
      </c>
      <c r="AD18" s="7"/>
      <c r="AF18" s="16">
        <v>0</v>
      </c>
      <c r="AH18" s="5"/>
      <c r="AI18" s="16">
        <v>0</v>
      </c>
      <c r="AK18" s="5"/>
      <c r="AL18" s="16">
        <v>0</v>
      </c>
    </row>
    <row r="19" spans="1:38" ht="19.5" customHeight="1" x14ac:dyDescent="0.2">
      <c r="A19" s="3" t="s">
        <v>9</v>
      </c>
      <c r="E19" s="8">
        <f>+E18+E17</f>
        <v>7668</v>
      </c>
      <c r="G19" s="86"/>
      <c r="H19" s="8">
        <v>7668.93</v>
      </c>
      <c r="J19" s="86"/>
      <c r="K19" s="8">
        <f>+K18+K17</f>
        <v>31218.92</v>
      </c>
      <c r="M19" s="86"/>
      <c r="N19" s="8">
        <f>+N18+N17</f>
        <v>19920.159999999996</v>
      </c>
      <c r="O19" s="7"/>
      <c r="P19" s="86"/>
      <c r="Q19" s="8">
        <v>20440.120000000003</v>
      </c>
      <c r="R19" s="7"/>
      <c r="S19" s="86"/>
      <c r="T19" s="8">
        <f>+T18+T17</f>
        <v>18467.02</v>
      </c>
      <c r="U19" s="7"/>
      <c r="V19" s="86"/>
      <c r="W19" s="8">
        <v>21717.11</v>
      </c>
      <c r="X19" s="7"/>
      <c r="Y19" s="7"/>
      <c r="Z19" s="8">
        <f>+Z18+Z17</f>
        <v>7683</v>
      </c>
      <c r="AA19" s="7"/>
      <c r="AB19" s="7"/>
      <c r="AC19" s="8">
        <f>+AC18+AC17</f>
        <v>7612</v>
      </c>
      <c r="AD19" s="7"/>
      <c r="AE19" s="7"/>
      <c r="AF19" s="8">
        <f>+AF18+AF17</f>
        <v>7562</v>
      </c>
      <c r="AH19" s="7"/>
      <c r="AI19" s="8">
        <f>+AI18+AI17</f>
        <v>7600</v>
      </c>
      <c r="AK19" s="7"/>
      <c r="AL19" s="8">
        <v>7586.56</v>
      </c>
    </row>
    <row r="20" spans="1:38" x14ac:dyDescent="0.2">
      <c r="E20" s="8"/>
      <c r="G20" s="44"/>
      <c r="H20" s="8"/>
      <c r="J20" s="44"/>
      <c r="K20" s="8"/>
      <c r="M20" s="44"/>
      <c r="N20" s="8"/>
      <c r="O20" s="7"/>
      <c r="P20" s="44"/>
      <c r="Q20" s="8"/>
      <c r="R20" s="7"/>
      <c r="S20" s="44"/>
      <c r="T20" s="8"/>
      <c r="U20" s="7"/>
      <c r="V20" s="44"/>
      <c r="W20" s="8"/>
      <c r="X20" s="7"/>
      <c r="Y20" s="5"/>
      <c r="Z20" s="8"/>
      <c r="AA20" s="7"/>
      <c r="AB20" s="5"/>
      <c r="AC20" s="8"/>
      <c r="AD20" s="7"/>
      <c r="AF20" s="8"/>
      <c r="AH20" s="5"/>
      <c r="AI20" s="8"/>
      <c r="AK20" s="5"/>
      <c r="AL20" s="8"/>
    </row>
    <row r="21" spans="1:38" ht="15.75" x14ac:dyDescent="0.25">
      <c r="A21" s="2" t="s">
        <v>10</v>
      </c>
      <c r="E21" s="8"/>
      <c r="G21" s="44"/>
      <c r="H21" s="8"/>
      <c r="J21" s="44"/>
      <c r="K21" s="8"/>
      <c r="M21" s="44"/>
      <c r="N21" s="8"/>
      <c r="O21" s="7"/>
      <c r="P21" s="44"/>
      <c r="Q21" s="8"/>
      <c r="R21" s="7"/>
      <c r="S21" s="44"/>
      <c r="T21" s="8"/>
      <c r="U21" s="7"/>
      <c r="V21" s="44"/>
      <c r="W21" s="8"/>
      <c r="X21" s="7"/>
      <c r="Y21" s="5"/>
      <c r="Z21" s="8"/>
      <c r="AA21" s="7"/>
      <c r="AB21" s="5"/>
      <c r="AC21" s="8"/>
      <c r="AD21" s="7"/>
      <c r="AF21" s="8"/>
      <c r="AH21" s="5"/>
      <c r="AI21" s="8"/>
      <c r="AK21" s="5"/>
      <c r="AL21" s="8"/>
    </row>
    <row r="22" spans="1:38" x14ac:dyDescent="0.2">
      <c r="A22" s="70" t="s">
        <v>578</v>
      </c>
      <c r="D22" s="32">
        <v>0</v>
      </c>
      <c r="E22" s="8"/>
      <c r="G22" s="32">
        <v>17500</v>
      </c>
      <c r="H22" s="8"/>
      <c r="J22" s="44">
        <v>0</v>
      </c>
      <c r="K22" s="8"/>
      <c r="M22" s="44">
        <f>+'kolommenbalans 2018'!O35</f>
        <v>12768.57</v>
      </c>
      <c r="N22" s="8"/>
      <c r="O22" s="7"/>
      <c r="P22" s="44">
        <v>14851.94</v>
      </c>
      <c r="Q22" s="8"/>
      <c r="R22" s="7"/>
      <c r="S22" s="44">
        <v>32271.66</v>
      </c>
      <c r="T22" s="8"/>
      <c r="U22" s="7"/>
      <c r="V22" s="44">
        <v>12747.69</v>
      </c>
      <c r="W22" s="8"/>
      <c r="X22" s="7"/>
      <c r="Y22" s="5">
        <v>6000</v>
      </c>
      <c r="Z22" s="8"/>
      <c r="AA22" s="7"/>
      <c r="AB22" s="5">
        <v>0</v>
      </c>
      <c r="AC22" s="8"/>
      <c r="AD22" s="7"/>
      <c r="AE22" s="5">
        <v>0</v>
      </c>
      <c r="AF22" s="8"/>
      <c r="AH22" s="5">
        <v>7500</v>
      </c>
      <c r="AI22" s="8"/>
      <c r="AK22" s="5">
        <v>5053.45</v>
      </c>
      <c r="AL22" s="8"/>
    </row>
    <row r="23" spans="1:38" x14ac:dyDescent="0.2">
      <c r="A23" s="70" t="s">
        <v>580</v>
      </c>
      <c r="D23" s="44">
        <v>0</v>
      </c>
      <c r="E23" s="8"/>
      <c r="G23" s="44">
        <v>8500</v>
      </c>
      <c r="H23" s="8"/>
      <c r="J23" s="44">
        <f>+'winst en verlies 2019'!D23</f>
        <v>500</v>
      </c>
      <c r="K23" s="8"/>
      <c r="M23" s="44">
        <f>-'kolommenbalans 2018'!H39</f>
        <v>15000</v>
      </c>
      <c r="N23" s="8"/>
      <c r="O23" s="7"/>
      <c r="P23" s="44"/>
      <c r="Q23" s="8"/>
      <c r="R23" s="7"/>
      <c r="S23" s="44"/>
      <c r="T23" s="8"/>
      <c r="U23" s="7"/>
      <c r="V23" s="44"/>
      <c r="W23" s="8"/>
      <c r="X23" s="7"/>
      <c r="Y23" s="5"/>
      <c r="Z23" s="8"/>
      <c r="AA23" s="7"/>
      <c r="AB23" s="5"/>
      <c r="AC23" s="8"/>
      <c r="AD23" s="7"/>
      <c r="AF23" s="8"/>
      <c r="AH23" s="5"/>
      <c r="AI23" s="8"/>
      <c r="AK23" s="5"/>
      <c r="AL23" s="8"/>
    </row>
    <row r="24" spans="1:38" x14ac:dyDescent="0.2">
      <c r="A24" s="70" t="s">
        <v>579</v>
      </c>
      <c r="D24" s="72">
        <v>0</v>
      </c>
      <c r="E24" s="8"/>
      <c r="G24" s="72"/>
      <c r="H24" s="8"/>
      <c r="J24" s="72">
        <f>+'winst en verlies 2019'!D24</f>
        <v>23465.32</v>
      </c>
      <c r="K24" s="8"/>
      <c r="M24" s="72"/>
      <c r="N24" s="8"/>
      <c r="O24" s="7"/>
      <c r="P24" s="44">
        <v>-3000</v>
      </c>
      <c r="Q24" s="8"/>
      <c r="R24" s="7"/>
      <c r="S24" s="44">
        <v>2500</v>
      </c>
      <c r="T24" s="8"/>
      <c r="U24" s="7"/>
      <c r="V24" s="44">
        <v>5500</v>
      </c>
      <c r="W24" s="8"/>
      <c r="X24" s="7"/>
      <c r="Y24" s="5"/>
      <c r="Z24" s="8"/>
      <c r="AA24" s="7"/>
      <c r="AB24" s="5"/>
      <c r="AC24" s="8"/>
      <c r="AD24" s="7"/>
      <c r="AF24" s="8"/>
      <c r="AH24" s="5"/>
      <c r="AI24" s="8"/>
      <c r="AK24" s="5"/>
      <c r="AL24" s="8"/>
    </row>
    <row r="25" spans="1:38" x14ac:dyDescent="0.2">
      <c r="A25" s="99" t="s">
        <v>421</v>
      </c>
      <c r="D25" s="44">
        <v>0</v>
      </c>
      <c r="E25" s="8"/>
      <c r="G25" s="44"/>
      <c r="H25" s="8"/>
      <c r="J25" s="44">
        <v>0</v>
      </c>
      <c r="K25" s="8"/>
      <c r="M25" s="44">
        <v>0</v>
      </c>
      <c r="N25" s="8"/>
      <c r="O25" s="7"/>
      <c r="P25" s="44">
        <v>0</v>
      </c>
      <c r="Q25" s="8"/>
      <c r="R25" s="7"/>
      <c r="S25" s="44">
        <v>1021.66</v>
      </c>
      <c r="T25" s="8"/>
      <c r="U25" s="7"/>
      <c r="V25" s="44">
        <v>1252.31</v>
      </c>
      <c r="W25" s="8"/>
      <c r="X25" s="7"/>
      <c r="Y25" s="5"/>
      <c r="Z25" s="8"/>
      <c r="AA25" s="7"/>
      <c r="AB25" s="5"/>
      <c r="AC25" s="8"/>
      <c r="AD25" s="7"/>
      <c r="AF25" s="8"/>
      <c r="AH25" s="5"/>
      <c r="AI25" s="8"/>
      <c r="AK25" s="5"/>
      <c r="AL25" s="8"/>
    </row>
    <row r="26" spans="1:38" ht="13.5" thickBot="1" x14ac:dyDescent="0.25">
      <c r="A26" t="s">
        <v>5</v>
      </c>
      <c r="D26" s="85">
        <f>-'kolommenbalans 2021'!K34</f>
        <v>-168.00000000000003</v>
      </c>
      <c r="E26" s="8"/>
      <c r="G26" s="85">
        <v>168.92999999999998</v>
      </c>
      <c r="H26" s="8"/>
      <c r="J26" s="85">
        <f>+'winst en verlies 2019'!D26</f>
        <v>253.60000000000002</v>
      </c>
      <c r="K26" s="8"/>
      <c r="M26" s="85">
        <f>+'kolommenbalans concept'!N34</f>
        <v>119.92</v>
      </c>
      <c r="N26" s="8"/>
      <c r="O26" s="7"/>
      <c r="P26" s="85">
        <v>173.56</v>
      </c>
      <c r="Q26" s="8"/>
      <c r="R26" s="7"/>
      <c r="S26" s="85">
        <v>334.54</v>
      </c>
      <c r="T26" s="8"/>
      <c r="U26" s="7"/>
      <c r="V26" s="85">
        <v>163.28</v>
      </c>
      <c r="W26" s="8"/>
      <c r="X26" s="7"/>
      <c r="Y26" s="6">
        <v>112</v>
      </c>
      <c r="Z26" s="8"/>
      <c r="AA26" s="7"/>
      <c r="AB26" s="6">
        <v>100</v>
      </c>
      <c r="AC26" s="8"/>
      <c r="AD26" s="7"/>
      <c r="AE26" s="9" t="s">
        <v>351</v>
      </c>
      <c r="AF26" s="8"/>
      <c r="AH26" s="6">
        <v>100</v>
      </c>
      <c r="AI26" s="8"/>
      <c r="AK26" s="6">
        <v>74.56</v>
      </c>
      <c r="AL26" s="8"/>
    </row>
    <row r="27" spans="1:38" ht="19.5" customHeight="1" x14ac:dyDescent="0.2">
      <c r="A27" s="3" t="s">
        <v>13</v>
      </c>
      <c r="D27" s="86"/>
      <c r="E27" s="8">
        <f>SUM(D22:D26)</f>
        <v>-168.00000000000003</v>
      </c>
      <c r="G27" s="86"/>
      <c r="H27" s="8">
        <v>26168.93</v>
      </c>
      <c r="J27" s="86"/>
      <c r="K27" s="8">
        <f>SUM(J21:J26)</f>
        <v>24218.92</v>
      </c>
      <c r="M27" s="86"/>
      <c r="N27" s="8">
        <f>SUM(M21:M26)</f>
        <v>27888.489999999998</v>
      </c>
      <c r="O27" s="7"/>
      <c r="P27" s="86"/>
      <c r="Q27" s="8">
        <v>12025.5</v>
      </c>
      <c r="R27" s="7"/>
      <c r="S27" s="86"/>
      <c r="T27" s="8">
        <f>SUM(S21:S26)</f>
        <v>36127.860000000008</v>
      </c>
      <c r="U27" s="7"/>
      <c r="V27" s="86"/>
      <c r="W27" s="8">
        <v>19663.280000000002</v>
      </c>
      <c r="X27" s="7"/>
      <c r="Y27" s="7"/>
      <c r="Z27" s="8">
        <f>SUM(Y21:Y26)</f>
        <v>6112</v>
      </c>
      <c r="AA27" s="7"/>
      <c r="AB27" s="7"/>
      <c r="AC27" s="8">
        <f>SUM(AB21:AB26)</f>
        <v>100</v>
      </c>
      <c r="AD27" s="7"/>
      <c r="AE27" s="7"/>
      <c r="AF27" s="8">
        <f>SUM(AE21:AE26)</f>
        <v>0</v>
      </c>
      <c r="AH27" s="7"/>
      <c r="AI27" s="8">
        <f>+AH26+AH22</f>
        <v>7600</v>
      </c>
      <c r="AK27" s="7"/>
      <c r="AL27" s="8">
        <v>5128.01</v>
      </c>
    </row>
    <row r="28" spans="1:38" x14ac:dyDescent="0.2">
      <c r="D28" s="44"/>
      <c r="E28" s="8"/>
      <c r="G28" s="44"/>
      <c r="H28" s="8"/>
      <c r="J28" s="44"/>
      <c r="K28" s="8"/>
      <c r="M28" s="44"/>
      <c r="N28" s="8"/>
      <c r="O28" s="7"/>
      <c r="P28" s="44"/>
      <c r="Q28" s="8"/>
      <c r="R28" s="7"/>
      <c r="S28" s="44"/>
      <c r="T28" s="8"/>
      <c r="U28" s="7"/>
      <c r="V28" s="44"/>
      <c r="W28" s="8"/>
      <c r="X28" s="7"/>
      <c r="Y28" s="5"/>
      <c r="Z28" s="8"/>
      <c r="AA28" s="7"/>
      <c r="AB28" s="5"/>
      <c r="AC28" s="8"/>
      <c r="AD28" s="7"/>
      <c r="AF28" s="8"/>
      <c r="AH28" s="5"/>
      <c r="AI28" s="8"/>
      <c r="AK28" s="5"/>
      <c r="AL28" s="8"/>
    </row>
    <row r="29" spans="1:38" ht="19.5" customHeight="1" x14ac:dyDescent="0.2">
      <c r="A29" s="1" t="s">
        <v>15</v>
      </c>
      <c r="D29" s="86"/>
      <c r="E29" s="8">
        <f>+E19+E27</f>
        <v>7500</v>
      </c>
      <c r="G29" s="86"/>
      <c r="H29" s="8">
        <v>-18500</v>
      </c>
      <c r="J29" s="86"/>
      <c r="K29" s="8">
        <f>+K19-K27</f>
        <v>7000</v>
      </c>
      <c r="M29" s="86"/>
      <c r="N29" s="8">
        <f>+N19-N27</f>
        <v>-7968.3300000000017</v>
      </c>
      <c r="O29" s="7"/>
      <c r="P29" s="86"/>
      <c r="Q29" s="8">
        <v>8414.6200000000026</v>
      </c>
      <c r="R29" s="7"/>
      <c r="S29" s="86"/>
      <c r="T29" s="8">
        <f>+T19-T27</f>
        <v>-17660.840000000007</v>
      </c>
      <c r="U29" s="7"/>
      <c r="V29" s="86"/>
      <c r="W29" s="8">
        <v>2053.8299999999981</v>
      </c>
      <c r="X29" s="7"/>
      <c r="Y29" s="7"/>
      <c r="Z29" s="8">
        <f>+Z19-Z27</f>
        <v>1571</v>
      </c>
      <c r="AA29" s="7"/>
      <c r="AB29" s="7"/>
      <c r="AC29" s="8">
        <f>+AC19-AC27</f>
        <v>7512</v>
      </c>
      <c r="AD29" s="7"/>
      <c r="AE29" s="7"/>
      <c r="AF29" s="8">
        <f>+AF19-AF27</f>
        <v>7562</v>
      </c>
      <c r="AH29" s="7"/>
      <c r="AI29" s="8">
        <f>+AI19-AI27</f>
        <v>0</v>
      </c>
      <c r="AK29" s="7"/>
      <c r="AL29" s="8">
        <v>2458.5500000000002</v>
      </c>
    </row>
    <row r="30" spans="1:38" x14ac:dyDescent="0.2">
      <c r="G30" s="44"/>
      <c r="H30" s="7"/>
      <c r="J30" s="44"/>
      <c r="K30" s="7"/>
      <c r="M30" s="44"/>
      <c r="N30" s="7"/>
      <c r="O30" s="7"/>
      <c r="P30" s="44"/>
      <c r="Q30" s="7"/>
      <c r="R30" s="7"/>
      <c r="S30" s="44"/>
      <c r="T30" s="7"/>
      <c r="U30" s="7"/>
      <c r="V30" s="44"/>
      <c r="W30" s="7"/>
      <c r="X30" s="7"/>
      <c r="Y30" s="5"/>
      <c r="Z30" s="7"/>
      <c r="AA30" s="7"/>
      <c r="AB30" s="5"/>
      <c r="AC30" s="7"/>
      <c r="AD30" s="7"/>
      <c r="AF30" s="7"/>
      <c r="AH30" s="5"/>
      <c r="AI30" s="7"/>
      <c r="AK30" s="5"/>
      <c r="AL30" s="7"/>
    </row>
    <row r="31" spans="1:38" x14ac:dyDescent="0.2">
      <c r="A31" s="20" t="s">
        <v>16</v>
      </c>
      <c r="G31" s="44"/>
      <c r="H31" s="7"/>
      <c r="J31" s="44"/>
      <c r="K31" s="7"/>
      <c r="M31" s="44"/>
      <c r="N31" s="7"/>
      <c r="O31" s="7"/>
      <c r="P31" s="44"/>
      <c r="Q31" s="7"/>
      <c r="R31" s="7"/>
      <c r="S31" s="44"/>
      <c r="T31" s="7"/>
      <c r="U31" s="7"/>
      <c r="V31" s="44"/>
      <c r="W31" s="7"/>
      <c r="X31" s="7"/>
      <c r="Y31" s="5"/>
      <c r="Z31" s="7"/>
      <c r="AA31" s="7"/>
      <c r="AB31" s="5"/>
      <c r="AC31" s="7"/>
      <c r="AD31" s="7"/>
      <c r="AF31" s="7"/>
      <c r="AH31" s="5"/>
      <c r="AI31" s="7"/>
      <c r="AK31" s="5"/>
      <c r="AL31" s="7"/>
    </row>
    <row r="32" spans="1:38" x14ac:dyDescent="0.2">
      <c r="A32" t="s">
        <v>17</v>
      </c>
      <c r="D32" s="44">
        <v>0</v>
      </c>
      <c r="E32" s="8"/>
      <c r="G32" s="44">
        <v>0</v>
      </c>
      <c r="H32" s="8"/>
      <c r="J32" s="44">
        <v>0</v>
      </c>
      <c r="K32" s="8"/>
      <c r="M32" s="44">
        <v>0</v>
      </c>
      <c r="N32" s="8"/>
      <c r="O32" s="7"/>
      <c r="P32" s="44">
        <v>0</v>
      </c>
      <c r="Q32" s="8"/>
      <c r="R32" s="7"/>
      <c r="S32" s="44">
        <v>0</v>
      </c>
      <c r="T32" s="8"/>
      <c r="U32" s="7"/>
      <c r="V32" s="44">
        <v>0</v>
      </c>
      <c r="W32" s="8"/>
      <c r="X32" s="7"/>
      <c r="Y32" s="5">
        <v>0</v>
      </c>
      <c r="Z32" s="8"/>
      <c r="AA32" s="7"/>
      <c r="AB32" s="5">
        <v>7500</v>
      </c>
      <c r="AC32" s="8"/>
      <c r="AD32" s="7"/>
      <c r="AE32" s="5">
        <v>7500</v>
      </c>
      <c r="AF32" s="8"/>
      <c r="AH32" s="5">
        <v>0</v>
      </c>
      <c r="AI32" s="8"/>
      <c r="AK32" s="5">
        <v>2458.5500000000002</v>
      </c>
      <c r="AL32" s="8"/>
    </row>
    <row r="33" spans="1:38" ht="13.5" thickBot="1" x14ac:dyDescent="0.25">
      <c r="A33" t="s">
        <v>28</v>
      </c>
      <c r="D33" s="85">
        <f>+'kolommenbalans 2021'!E43</f>
        <v>-4698.17</v>
      </c>
      <c r="E33" s="8"/>
      <c r="G33" s="85">
        <v>-18500</v>
      </c>
      <c r="H33" s="8"/>
      <c r="J33" s="85">
        <f>+K29</f>
        <v>7000</v>
      </c>
      <c r="K33" s="8"/>
      <c r="M33" s="85">
        <f>+N29</f>
        <v>-7968.3300000000017</v>
      </c>
      <c r="N33" s="8"/>
      <c r="O33" s="7"/>
      <c r="P33" s="85">
        <v>8414.6200000000026</v>
      </c>
      <c r="Q33" s="8"/>
      <c r="R33" s="7"/>
      <c r="S33" s="85">
        <v>17660.84</v>
      </c>
      <c r="T33" s="8"/>
      <c r="U33" s="7"/>
      <c r="V33" s="85">
        <v>2053.8299999999981</v>
      </c>
      <c r="W33" s="8"/>
      <c r="X33" s="7"/>
      <c r="Y33" s="6">
        <v>1570</v>
      </c>
      <c r="Z33" s="8"/>
      <c r="AA33" s="7"/>
      <c r="AB33" s="6">
        <v>0</v>
      </c>
      <c r="AC33" s="8"/>
      <c r="AD33" s="7"/>
      <c r="AE33" s="6">
        <v>0</v>
      </c>
      <c r="AF33" s="8"/>
      <c r="AH33" s="6">
        <f>+AI29</f>
        <v>0</v>
      </c>
      <c r="AI33" s="8"/>
      <c r="AK33" s="9">
        <v>0</v>
      </c>
      <c r="AL33" s="8"/>
    </row>
    <row r="34" spans="1:38" ht="19.5" customHeight="1" x14ac:dyDescent="0.2">
      <c r="A34" s="3"/>
      <c r="D34" s="86"/>
      <c r="E34" s="8">
        <f>+D33</f>
        <v>-4698.17</v>
      </c>
      <c r="G34" s="86"/>
      <c r="H34" s="8">
        <v>-18500</v>
      </c>
      <c r="J34" s="86"/>
      <c r="K34" s="8">
        <f>+J32+J33</f>
        <v>7000</v>
      </c>
      <c r="M34" s="86"/>
      <c r="N34" s="8">
        <f>+M32+M33</f>
        <v>-7968.3300000000017</v>
      </c>
      <c r="O34" s="7"/>
      <c r="P34" s="86"/>
      <c r="Q34" s="8">
        <v>8414.6200000000026</v>
      </c>
      <c r="R34" s="7"/>
      <c r="S34" s="86"/>
      <c r="T34" s="8">
        <f>+S32+S33</f>
        <v>17660.84</v>
      </c>
      <c r="U34" s="7"/>
      <c r="V34" s="86"/>
      <c r="W34" s="8">
        <v>2053.8299999999981</v>
      </c>
      <c r="X34" s="7"/>
      <c r="Y34" s="7"/>
      <c r="Z34" s="8">
        <f>+Y32+Y33</f>
        <v>1570</v>
      </c>
      <c r="AA34" s="7"/>
      <c r="AB34" s="7"/>
      <c r="AC34" s="8">
        <f>+AB32+AB33</f>
        <v>7500</v>
      </c>
      <c r="AD34" s="7"/>
      <c r="AE34" s="7"/>
      <c r="AF34" s="8">
        <f>+AE32+AE33</f>
        <v>7500</v>
      </c>
      <c r="AH34" s="7"/>
      <c r="AI34" s="8">
        <f>+AH33+AH32</f>
        <v>0</v>
      </c>
      <c r="AK34" s="7"/>
      <c r="AL34" s="8">
        <v>2458.5500000000002</v>
      </c>
    </row>
    <row r="35" spans="1:38" ht="19.5" customHeight="1" x14ac:dyDescent="0.2">
      <c r="A35" s="3"/>
      <c r="C35" s="47"/>
      <c r="D35" s="86"/>
      <c r="E35" s="8"/>
      <c r="F35" s="47"/>
      <c r="G35" s="86"/>
      <c r="H35" s="8"/>
      <c r="I35" s="47"/>
      <c r="J35" s="86"/>
      <c r="K35" s="8"/>
      <c r="M35" s="86"/>
      <c r="N35" s="8"/>
      <c r="O35" s="7"/>
      <c r="P35" s="86"/>
      <c r="Q35" s="8"/>
      <c r="R35" s="7"/>
      <c r="S35" s="86"/>
      <c r="T35" s="8"/>
      <c r="U35" s="7"/>
      <c r="V35" s="86"/>
      <c r="W35" s="8"/>
      <c r="X35" s="7"/>
      <c r="Y35" s="7"/>
      <c r="Z35" s="8"/>
      <c r="AA35" s="7"/>
      <c r="AB35" s="7"/>
      <c r="AC35" s="8"/>
      <c r="AD35" s="7"/>
      <c r="AE35" s="7"/>
      <c r="AF35" s="8"/>
      <c r="AH35" s="7"/>
      <c r="AI35" s="8"/>
      <c r="AK35" s="7"/>
      <c r="AL35" s="8"/>
    </row>
    <row r="36" spans="1:38" ht="19.5" customHeight="1" x14ac:dyDescent="0.2">
      <c r="A36" s="3"/>
      <c r="C36" s="112"/>
      <c r="F36" s="112"/>
      <c r="I36" s="112"/>
      <c r="K36" s="47"/>
      <c r="O36" s="7"/>
      <c r="R36" s="7"/>
      <c r="U36" s="7"/>
      <c r="X36" s="7"/>
      <c r="AA36" s="7"/>
      <c r="AD36" s="7"/>
      <c r="AE36" s="7"/>
      <c r="AF36" s="7"/>
    </row>
    <row r="37" spans="1:38" x14ac:dyDescent="0.2">
      <c r="A37" s="20" t="s">
        <v>43</v>
      </c>
      <c r="AB37" s="114"/>
    </row>
    <row r="38" spans="1:38" x14ac:dyDescent="0.2">
      <c r="A38" t="s">
        <v>47</v>
      </c>
      <c r="J38" s="95"/>
      <c r="M38" s="95"/>
      <c r="P38" s="95"/>
      <c r="S38" s="95"/>
      <c r="V38" s="96"/>
      <c r="Z38" s="113"/>
    </row>
    <row r="39" spans="1:38" x14ac:dyDescent="0.2">
      <c r="A39" s="76"/>
      <c r="B39" s="147" t="s">
        <v>703</v>
      </c>
      <c r="C39" s="76"/>
      <c r="D39" s="87"/>
      <c r="E39" s="88"/>
      <c r="F39" s="76"/>
      <c r="G39" s="87"/>
      <c r="H39" s="88"/>
      <c r="I39" s="76"/>
      <c r="J39" s="87"/>
      <c r="K39" s="76"/>
      <c r="L39" s="76"/>
      <c r="M39" s="87"/>
      <c r="N39" s="76"/>
      <c r="O39" s="76"/>
      <c r="P39" s="87"/>
      <c r="Q39" s="76"/>
      <c r="R39" s="76"/>
      <c r="S39" s="87"/>
      <c r="T39" s="76"/>
      <c r="U39" s="76"/>
      <c r="V39" s="88"/>
      <c r="W39" s="76"/>
      <c r="X39" s="76"/>
      <c r="Y39" s="76"/>
      <c r="Z39" s="113"/>
      <c r="AC39" s="76"/>
      <c r="AD39" s="76"/>
    </row>
    <row r="40" spans="1:38" x14ac:dyDescent="0.2">
      <c r="A40" s="76"/>
      <c r="C40" s="76"/>
      <c r="D40" s="87"/>
      <c r="E40" s="88"/>
      <c r="F40" s="76"/>
      <c r="G40" s="87"/>
      <c r="H40" s="88"/>
      <c r="I40" s="76"/>
      <c r="J40" s="87"/>
      <c r="K40" s="76"/>
      <c r="L40" s="76"/>
      <c r="M40" s="87"/>
      <c r="N40" s="76"/>
      <c r="O40" s="76"/>
      <c r="P40" s="87"/>
      <c r="Q40" s="76"/>
      <c r="R40" s="76"/>
      <c r="S40" s="87"/>
      <c r="T40" s="76"/>
      <c r="U40" s="76"/>
      <c r="V40" s="88"/>
      <c r="W40" s="76"/>
      <c r="X40" s="76"/>
      <c r="Y40" s="76"/>
      <c r="Z40" s="113"/>
      <c r="AC40" s="76"/>
      <c r="AD40" s="76"/>
    </row>
    <row r="41" spans="1:38" x14ac:dyDescent="0.2">
      <c r="A41" s="70" t="s">
        <v>414</v>
      </c>
      <c r="B41" s="76"/>
      <c r="C41" s="76"/>
      <c r="D41" s="87"/>
      <c r="E41" s="88"/>
      <c r="F41" s="76"/>
      <c r="G41" s="87"/>
      <c r="H41" s="88"/>
      <c r="I41" s="76"/>
      <c r="J41" s="87"/>
      <c r="K41" s="76"/>
      <c r="L41" s="76"/>
      <c r="M41" s="87"/>
      <c r="N41" s="76"/>
      <c r="O41" s="76"/>
      <c r="P41" s="87"/>
      <c r="Q41" s="76"/>
      <c r="R41" s="76"/>
      <c r="S41" s="87"/>
      <c r="T41" s="76"/>
      <c r="U41" s="76"/>
      <c r="V41" s="88"/>
      <c r="W41" s="76"/>
      <c r="X41" s="76"/>
      <c r="Y41" s="76"/>
      <c r="Z41" s="113"/>
      <c r="AC41" s="76"/>
      <c r="AD41" s="76"/>
    </row>
    <row r="42" spans="1:38" x14ac:dyDescent="0.2">
      <c r="B42" s="70" t="s">
        <v>107</v>
      </c>
      <c r="C42" s="76"/>
      <c r="D42" s="87"/>
      <c r="E42" s="88"/>
      <c r="F42" s="76"/>
      <c r="G42" s="87"/>
      <c r="H42" s="88"/>
      <c r="I42" s="76"/>
      <c r="J42" s="87"/>
      <c r="K42" s="76"/>
      <c r="L42" s="76"/>
      <c r="M42" s="87"/>
      <c r="N42" s="76"/>
      <c r="O42" s="76"/>
      <c r="P42" s="87"/>
      <c r="Q42" s="76"/>
      <c r="R42" s="76"/>
      <c r="S42" s="87"/>
      <c r="T42" s="76"/>
      <c r="U42" s="76"/>
      <c r="V42" s="88"/>
      <c r="W42" s="76"/>
      <c r="X42" s="76"/>
      <c r="Y42" s="76"/>
      <c r="Z42" s="76"/>
      <c r="AA42" s="76"/>
      <c r="AB42" s="114"/>
      <c r="AC42" s="76"/>
      <c r="AD42" s="76"/>
    </row>
    <row r="43" spans="1:38" x14ac:dyDescent="0.2">
      <c r="A43" s="76"/>
      <c r="B43" s="147" t="s">
        <v>705</v>
      </c>
      <c r="C43" s="76"/>
      <c r="D43" s="87"/>
      <c r="E43" s="88"/>
      <c r="F43" s="76"/>
      <c r="G43" s="87"/>
      <c r="H43" s="88"/>
      <c r="I43" s="76"/>
      <c r="J43" s="72">
        <f>-'kolommenbalans 2018'!K38</f>
        <v>0</v>
      </c>
      <c r="K43" s="72">
        <f>+'kolommenbalans 2021'!K9+'kolommenbalans 2021'!K11+'kolommenbalans 2021'!K14+'kolommenbalans 2021'!K16+'kolommenbalans 2021'!K18+'kolommenbalans 2021'!K21+'kolommenbalans 2021'!K23+'kolommenbalans 2021'!K26+'kolommenbalans 2021'!K28+'kolommenbalans 2021'!K30+'kolommenbalans 2021'!K31+'kolommenbalans 2021'!K32</f>
        <v>108.17999999999999</v>
      </c>
      <c r="L43" s="76"/>
      <c r="N43" s="76"/>
      <c r="O43" s="76"/>
      <c r="Q43" s="76"/>
      <c r="R43" s="76"/>
      <c r="S43" s="87"/>
      <c r="T43" s="76"/>
      <c r="U43" s="76"/>
      <c r="V43" s="88"/>
      <c r="W43" s="76"/>
      <c r="X43" s="76"/>
      <c r="Y43" s="76"/>
      <c r="Z43" s="76"/>
      <c r="AA43" s="76"/>
      <c r="AB43" s="76"/>
      <c r="AC43" s="76"/>
      <c r="AD43" s="76"/>
    </row>
    <row r="44" spans="1:38" ht="15" x14ac:dyDescent="0.35">
      <c r="A44" s="76"/>
      <c r="B44" s="147" t="s">
        <v>677</v>
      </c>
      <c r="C44" s="76"/>
      <c r="D44" s="87"/>
      <c r="E44" s="88"/>
      <c r="F44" s="76"/>
      <c r="G44" s="87"/>
      <c r="H44" s="88"/>
      <c r="I44" s="76"/>
      <c r="J44" s="72"/>
      <c r="K44" s="45">
        <f>+'kolommenbalans 2021'!K7</f>
        <v>59.82</v>
      </c>
      <c r="L44" s="76"/>
      <c r="N44" s="76"/>
      <c r="O44" s="76"/>
      <c r="Q44" s="76"/>
      <c r="R44" s="76"/>
      <c r="S44" s="87"/>
      <c r="T44" s="76"/>
      <c r="U44" s="76"/>
      <c r="V44" s="88"/>
      <c r="W44" s="76"/>
      <c r="X44" s="76"/>
      <c r="Y44" s="76"/>
      <c r="Z44" s="76"/>
      <c r="AA44" s="76"/>
      <c r="AB44" s="76"/>
      <c r="AC44" s="76"/>
      <c r="AD44" s="76"/>
    </row>
    <row r="45" spans="1:38" x14ac:dyDescent="0.2">
      <c r="A45" s="76"/>
      <c r="B45" s="70"/>
      <c r="C45" s="76"/>
      <c r="D45" s="87"/>
      <c r="E45" s="88"/>
      <c r="F45" s="76"/>
      <c r="G45" s="87"/>
      <c r="H45" s="88"/>
      <c r="I45" s="76"/>
      <c r="J45" s="72"/>
      <c r="K45" s="79">
        <f>SUM(K43:K44)</f>
        <v>168</v>
      </c>
      <c r="L45" s="76"/>
      <c r="M45" s="72"/>
      <c r="N45" s="76"/>
      <c r="O45" s="76"/>
      <c r="Q45" s="76"/>
      <c r="R45" s="76"/>
      <c r="S45" s="87"/>
      <c r="T45" s="76"/>
      <c r="U45" s="76"/>
      <c r="V45" s="88"/>
      <c r="W45" s="76"/>
      <c r="X45" s="76"/>
      <c r="Y45" s="76"/>
      <c r="Z45" s="76"/>
      <c r="AA45" s="76"/>
      <c r="AB45" s="76"/>
      <c r="AC45" s="76"/>
      <c r="AD45" s="76"/>
    </row>
    <row r="46" spans="1:38" x14ac:dyDescent="0.2">
      <c r="A46" s="76"/>
      <c r="B46" s="70"/>
      <c r="C46" s="76"/>
      <c r="D46" s="87"/>
      <c r="E46" s="88"/>
      <c r="F46" s="76"/>
      <c r="G46" s="87"/>
      <c r="H46" s="88"/>
      <c r="I46" s="76"/>
      <c r="J46" s="72"/>
      <c r="K46" s="79"/>
      <c r="L46" s="76"/>
      <c r="M46" s="72"/>
      <c r="N46" s="76"/>
      <c r="O46" s="76"/>
      <c r="Q46" s="76"/>
      <c r="R46" s="76"/>
      <c r="S46" s="87"/>
      <c r="T46" s="76"/>
      <c r="U46" s="76"/>
      <c r="V46" s="88"/>
      <c r="W46" s="76"/>
      <c r="X46" s="76"/>
      <c r="Y46" s="76"/>
      <c r="Z46" s="76"/>
      <c r="AA46" s="76"/>
      <c r="AB46" s="76"/>
      <c r="AC46" s="76"/>
      <c r="AD46" s="76"/>
    </row>
    <row r="47" spans="1:38" x14ac:dyDescent="0.2">
      <c r="A47" s="70" t="s">
        <v>46</v>
      </c>
      <c r="B47" s="76"/>
      <c r="C47" s="76"/>
      <c r="D47" s="87"/>
      <c r="E47" s="88"/>
      <c r="F47" s="76"/>
      <c r="G47" s="87"/>
      <c r="H47" s="88"/>
      <c r="I47" s="76"/>
      <c r="J47" s="87"/>
      <c r="K47" s="76"/>
      <c r="L47" s="76"/>
      <c r="M47" s="87"/>
      <c r="N47" s="76"/>
      <c r="O47" s="76"/>
      <c r="P47" s="87"/>
      <c r="Q47" s="76"/>
      <c r="R47" s="76"/>
      <c r="S47" s="87"/>
      <c r="T47" s="76"/>
      <c r="U47" s="76"/>
      <c r="V47" s="88"/>
      <c r="W47" s="76"/>
      <c r="X47" s="76"/>
      <c r="Y47" s="76"/>
      <c r="Z47" s="76"/>
      <c r="AA47" s="76"/>
      <c r="AB47" s="76"/>
      <c r="AC47" s="76"/>
      <c r="AD47" s="76"/>
    </row>
    <row r="48" spans="1:38" x14ac:dyDescent="0.2">
      <c r="B48" s="237" t="s">
        <v>706</v>
      </c>
      <c r="C48" s="238"/>
      <c r="D48" s="238"/>
      <c r="E48" s="238"/>
      <c r="F48" s="238"/>
      <c r="G48" s="238"/>
      <c r="H48" s="238"/>
      <c r="I48" s="238"/>
      <c r="J48" s="238"/>
      <c r="K48" s="238"/>
      <c r="L48" s="238"/>
      <c r="M48" s="238"/>
      <c r="N48" s="238"/>
      <c r="O48" s="238"/>
      <c r="P48" s="238"/>
      <c r="Q48" s="238"/>
      <c r="R48" s="76"/>
      <c r="S48" s="210"/>
      <c r="T48" s="76"/>
      <c r="U48" s="76"/>
      <c r="V48" s="88"/>
      <c r="W48" s="76"/>
      <c r="X48" s="76"/>
      <c r="Y48" s="76"/>
      <c r="Z48" s="76"/>
      <c r="AA48" s="76"/>
      <c r="AB48" s="76"/>
      <c r="AC48" s="76"/>
      <c r="AD48" s="76"/>
      <c r="AH48" s="5"/>
      <c r="AK48" s="5"/>
    </row>
    <row r="49" spans="1:38" x14ac:dyDescent="0.2">
      <c r="A49" s="70"/>
      <c r="B49" s="238"/>
      <c r="C49" s="238"/>
      <c r="D49" s="238"/>
      <c r="E49" s="238"/>
      <c r="F49" s="238"/>
      <c r="G49" s="238"/>
      <c r="H49" s="238"/>
      <c r="I49" s="238"/>
      <c r="J49" s="238"/>
      <c r="K49" s="238"/>
      <c r="L49" s="238"/>
      <c r="M49" s="238"/>
      <c r="N49" s="238"/>
      <c r="O49" s="238"/>
      <c r="P49" s="238"/>
      <c r="Q49" s="238"/>
      <c r="R49" s="98"/>
      <c r="S49" s="98"/>
      <c r="T49" s="98"/>
      <c r="U49" s="138"/>
      <c r="V49" s="138"/>
      <c r="W49" s="138"/>
      <c r="X49" s="138"/>
      <c r="Y49" s="138"/>
      <c r="Z49" s="138"/>
      <c r="AA49" s="138"/>
      <c r="AB49" s="98"/>
      <c r="AC49" s="98"/>
      <c r="AD49" s="76"/>
      <c r="AE49" s="183"/>
      <c r="AH49" s="183"/>
      <c r="AI49" s="184"/>
      <c r="AK49" s="183"/>
      <c r="AL49" s="184"/>
    </row>
    <row r="50" spans="1:38" x14ac:dyDescent="0.2">
      <c r="B50" s="238"/>
      <c r="C50" s="238"/>
      <c r="D50" s="238"/>
      <c r="E50" s="238"/>
      <c r="F50" s="238"/>
      <c r="G50" s="238"/>
      <c r="H50" s="238"/>
      <c r="I50" s="238"/>
      <c r="J50" s="238"/>
      <c r="K50" s="238"/>
      <c r="L50" s="238"/>
      <c r="M50" s="238"/>
      <c r="N50" s="238"/>
      <c r="O50" s="238"/>
      <c r="P50" s="238"/>
      <c r="Q50" s="238"/>
      <c r="R50" s="76"/>
      <c r="S50" s="87"/>
      <c r="T50" s="76"/>
      <c r="U50" s="76"/>
      <c r="V50" s="88"/>
      <c r="W50" s="76"/>
      <c r="X50" s="76"/>
      <c r="Y50" s="76"/>
      <c r="Z50" s="76"/>
      <c r="AA50" s="76"/>
      <c r="AB50" s="76"/>
      <c r="AC50" s="76"/>
      <c r="AD50" s="76"/>
      <c r="AH50" s="5"/>
      <c r="AI50" s="44"/>
      <c r="AK50" s="5"/>
      <c r="AL50" s="44"/>
    </row>
    <row r="51" spans="1:38" x14ac:dyDescent="0.2">
      <c r="B51" s="98"/>
      <c r="C51" s="98"/>
      <c r="D51" s="98"/>
      <c r="E51" s="98"/>
      <c r="F51" s="98"/>
      <c r="G51" s="98"/>
      <c r="H51" s="98"/>
      <c r="I51" s="98"/>
      <c r="J51" s="98"/>
      <c r="K51" s="98"/>
      <c r="L51" s="98"/>
      <c r="M51" s="98"/>
      <c r="N51" s="98"/>
      <c r="O51" s="98"/>
      <c r="P51" s="98"/>
      <c r="Q51" s="98"/>
      <c r="R51" s="76"/>
      <c r="S51" s="87"/>
      <c r="T51" s="76"/>
      <c r="U51" s="76"/>
      <c r="V51" s="88"/>
      <c r="W51" s="76"/>
      <c r="X51" s="76"/>
      <c r="Y51" s="76"/>
      <c r="Z51" s="76"/>
      <c r="AA51" s="76"/>
      <c r="AB51" s="76"/>
      <c r="AC51" s="76"/>
      <c r="AD51" s="76"/>
      <c r="AH51" s="5"/>
      <c r="AI51" s="44"/>
      <c r="AK51" s="5"/>
      <c r="AL51" s="44"/>
    </row>
    <row r="52" spans="1:38" x14ac:dyDescent="0.2">
      <c r="A52" s="114" t="s">
        <v>489</v>
      </c>
      <c r="K52" s="76"/>
      <c r="N52" s="76"/>
      <c r="O52" s="76"/>
      <c r="P52" s="72"/>
      <c r="Q52" s="76"/>
      <c r="R52" s="76"/>
      <c r="S52" s="87"/>
      <c r="T52" s="76"/>
      <c r="U52" s="76"/>
      <c r="V52" s="88"/>
      <c r="W52" s="76"/>
      <c r="X52" s="76"/>
      <c r="Y52" s="76"/>
      <c r="Z52" s="76"/>
      <c r="AA52" s="76"/>
      <c r="AB52" s="76"/>
      <c r="AC52" s="76"/>
      <c r="AD52" s="76"/>
      <c r="AH52" s="5"/>
      <c r="AI52" s="44"/>
      <c r="AK52" s="5"/>
      <c r="AL52" s="44"/>
    </row>
    <row r="53" spans="1:38" x14ac:dyDescent="0.2">
      <c r="A53" s="101"/>
      <c r="B53" s="147" t="s">
        <v>707</v>
      </c>
      <c r="H53" s="89">
        <f>+'kolommenbalans 2021'!F5</f>
        <v>-9460</v>
      </c>
      <c r="J53" s="72"/>
      <c r="N53" s="76"/>
      <c r="O53" s="76"/>
      <c r="P53" s="72"/>
      <c r="Q53" s="76"/>
      <c r="R53" s="76"/>
      <c r="S53" s="87"/>
      <c r="T53" s="76"/>
      <c r="U53" s="76"/>
      <c r="V53" s="88"/>
      <c r="W53" s="76"/>
      <c r="X53" s="76"/>
      <c r="Y53" s="76"/>
      <c r="Z53" s="76"/>
      <c r="AA53" s="76"/>
      <c r="AB53" s="76"/>
      <c r="AC53" s="76"/>
      <c r="AD53" s="76"/>
      <c r="AH53" s="5"/>
      <c r="AI53" s="44"/>
      <c r="AK53" s="5"/>
      <c r="AL53" s="44"/>
    </row>
    <row r="54" spans="1:38" x14ac:dyDescent="0.2">
      <c r="C54" s="148" t="s">
        <v>642</v>
      </c>
      <c r="D54" s="162"/>
      <c r="E54" s="206">
        <v>800</v>
      </c>
      <c r="F54" s="148"/>
      <c r="H54" s="89">
        <v>160</v>
      </c>
      <c r="J54" s="72"/>
      <c r="N54" s="76"/>
      <c r="O54" s="76"/>
      <c r="P54" s="72"/>
      <c r="Q54" s="76"/>
      <c r="R54" s="76"/>
      <c r="S54" s="87"/>
      <c r="T54" s="76"/>
      <c r="U54" s="76"/>
      <c r="V54" s="88"/>
      <c r="W54" s="76"/>
      <c r="X54" s="76"/>
      <c r="Y54" s="76"/>
      <c r="Z54" s="76"/>
      <c r="AA54" s="76"/>
      <c r="AB54" s="76"/>
      <c r="AC54" s="76"/>
      <c r="AD54" s="76"/>
      <c r="AH54" s="5"/>
      <c r="AI54" s="44"/>
      <c r="AK54" s="5"/>
      <c r="AL54" s="44"/>
    </row>
    <row r="55" spans="1:38" x14ac:dyDescent="0.2">
      <c r="A55" s="147" t="s">
        <v>690</v>
      </c>
    </row>
    <row r="56" spans="1:38" x14ac:dyDescent="0.2">
      <c r="C56" s="148" t="s">
        <v>659</v>
      </c>
      <c r="D56" s="162"/>
      <c r="E56" s="206">
        <v>1000</v>
      </c>
      <c r="F56" s="148"/>
      <c r="H56" s="208">
        <v>0</v>
      </c>
    </row>
    <row r="57" spans="1:38" x14ac:dyDescent="0.2">
      <c r="C57" s="148" t="s">
        <v>660</v>
      </c>
      <c r="D57" s="162"/>
      <c r="E57" s="206">
        <v>2500</v>
      </c>
      <c r="F57" s="148"/>
      <c r="H57" s="208">
        <v>0</v>
      </c>
    </row>
    <row r="58" spans="1:38" x14ac:dyDescent="0.2">
      <c r="C58" s="148" t="s">
        <v>661</v>
      </c>
      <c r="D58" s="162"/>
      <c r="E58" s="206"/>
      <c r="F58" s="148"/>
      <c r="H58" s="208">
        <v>1000</v>
      </c>
    </row>
    <row r="59" spans="1:38" x14ac:dyDescent="0.2">
      <c r="A59" s="21"/>
      <c r="C59" s="148" t="s">
        <v>662</v>
      </c>
      <c r="D59" s="162"/>
      <c r="E59" s="206"/>
      <c r="F59" s="148"/>
      <c r="H59" s="208">
        <v>3000</v>
      </c>
    </row>
    <row r="60" spans="1:38" x14ac:dyDescent="0.2">
      <c r="C60" s="148" t="s">
        <v>663</v>
      </c>
      <c r="D60" s="162"/>
      <c r="E60" s="206"/>
      <c r="F60" s="148"/>
      <c r="H60" s="209">
        <v>1000</v>
      </c>
    </row>
    <row r="61" spans="1:38" x14ac:dyDescent="0.2">
      <c r="C61" s="182" t="s">
        <v>708</v>
      </c>
      <c r="D61" s="185"/>
      <c r="E61" s="207">
        <f>SUM(E53:E60)</f>
        <v>4300</v>
      </c>
      <c r="F61" s="182"/>
      <c r="H61" s="4">
        <f>+H53+E61</f>
        <v>-5160</v>
      </c>
    </row>
    <row r="63" spans="1:38" x14ac:dyDescent="0.2">
      <c r="A63" s="147" t="s">
        <v>712</v>
      </c>
      <c r="H63" s="4">
        <f>+'kolommenbalans 2021'!E5</f>
        <v>2801.83</v>
      </c>
    </row>
    <row r="64" spans="1:38" x14ac:dyDescent="0.2">
      <c r="C64" s="148" t="s">
        <v>709</v>
      </c>
      <c r="D64" s="162"/>
      <c r="E64" s="206"/>
      <c r="F64" s="148"/>
      <c r="H64" s="164">
        <f>+'kolommenbalans 2021'!E41</f>
        <v>-7500</v>
      </c>
    </row>
    <row r="65" spans="3:11" x14ac:dyDescent="0.2">
      <c r="C65" s="148" t="s">
        <v>711</v>
      </c>
      <c r="D65" s="146"/>
      <c r="E65" s="208"/>
      <c r="F65" s="147"/>
      <c r="H65" s="4">
        <f>+H63+H64</f>
        <v>-4698.17</v>
      </c>
      <c r="K65" s="47"/>
    </row>
  </sheetData>
  <mergeCells count="25">
    <mergeCell ref="AB3:AC3"/>
    <mergeCell ref="AE3:AF3"/>
    <mergeCell ref="AH3:AI3"/>
    <mergeCell ref="AK3:AL3"/>
    <mergeCell ref="B48:Q50"/>
    <mergeCell ref="AB4:AC4"/>
    <mergeCell ref="AE4:AF4"/>
    <mergeCell ref="AH4:AI4"/>
    <mergeCell ref="AK4:AL4"/>
    <mergeCell ref="D3:E3"/>
    <mergeCell ref="D4:E4"/>
    <mergeCell ref="V4:W4"/>
    <mergeCell ref="Y4:Z4"/>
    <mergeCell ref="G4:H4"/>
    <mergeCell ref="J4:K4"/>
    <mergeCell ref="M4:N4"/>
    <mergeCell ref="V3:W3"/>
    <mergeCell ref="Y3:Z3"/>
    <mergeCell ref="P4:Q4"/>
    <mergeCell ref="S4:T4"/>
    <mergeCell ref="G3:H3"/>
    <mergeCell ref="J3:K3"/>
    <mergeCell ref="M3:N3"/>
    <mergeCell ref="P3:Q3"/>
    <mergeCell ref="S3:T3"/>
  </mergeCells>
  <pageMargins left="0.74803149606299202" right="0.74803149606299202" top="0.98425196850393704" bottom="0.78740157480314998" header="0.511811023622047" footer="0.511811023622047"/>
  <pageSetup paperSize="9" scale="59" orientation="portrait" r:id="rId1"/>
  <headerFooter alignWithMargins="0">
    <oddFooter>&amp;L&amp;F, &amp;A&amp;R&amp;D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AEDD-4244-451A-9E39-B49FC782B42F}">
  <sheetPr>
    <pageSetUpPr fitToPage="1"/>
  </sheetPr>
  <dimension ref="A1:P73"/>
  <sheetViews>
    <sheetView topLeftCell="A27" zoomScale="106" workbookViewId="0">
      <selection activeCell="E43" sqref="E43"/>
    </sheetView>
  </sheetViews>
  <sheetFormatPr defaultColWidth="8.85546875" defaultRowHeight="12.75" x14ac:dyDescent="0.2"/>
  <cols>
    <col min="1" max="1" width="29.28515625" customWidth="1"/>
    <col min="2" max="2" width="14.28515625" customWidth="1"/>
    <col min="3" max="3" width="10.85546875" bestFit="1" customWidth="1"/>
    <col min="4" max="4" width="13.42578125" customWidth="1"/>
    <col min="5" max="5" width="11.42578125" bestFit="1" customWidth="1"/>
    <col min="6" max="6" width="10.85546875" style="32" bestFit="1" customWidth="1"/>
    <col min="7" max="7" width="1" style="84" customWidth="1"/>
    <col min="8" max="8" width="10.85546875" bestFit="1" customWidth="1"/>
    <col min="9" max="9" width="5.140625" bestFit="1" customWidth="1"/>
    <col min="10" max="10" width="1.140625" style="84" customWidth="1"/>
    <col min="11" max="11" width="8.28515625" style="32" bestFit="1" customWidth="1"/>
    <col min="12" max="12" width="10.85546875" style="32" bestFit="1" customWidth="1"/>
    <col min="13" max="13" width="9.85546875" bestFit="1" customWidth="1"/>
    <col min="14" max="14" width="10.85546875" bestFit="1" customWidth="1"/>
    <col min="15" max="15" width="16.42578125" style="99" bestFit="1" customWidth="1"/>
    <col min="16" max="16" width="1.140625" style="99" customWidth="1"/>
  </cols>
  <sheetData>
    <row r="1" spans="1:16" ht="15.75" x14ac:dyDescent="0.25">
      <c r="A1" s="42" t="s">
        <v>695</v>
      </c>
      <c r="B1" s="157"/>
    </row>
    <row r="2" spans="1:16" ht="12" customHeight="1" x14ac:dyDescent="0.2"/>
    <row r="3" spans="1:16" s="12" customFormat="1" ht="132.75" customHeight="1" x14ac:dyDescent="0.2">
      <c r="B3" s="69" t="s">
        <v>291</v>
      </c>
      <c r="C3" s="69" t="s">
        <v>292</v>
      </c>
      <c r="D3" s="90" t="s">
        <v>372</v>
      </c>
      <c r="E3" s="90" t="s">
        <v>633</v>
      </c>
      <c r="F3" s="118" t="s">
        <v>202</v>
      </c>
      <c r="G3" s="102"/>
      <c r="H3" s="69" t="s">
        <v>392</v>
      </c>
      <c r="I3" s="69" t="s">
        <v>302</v>
      </c>
      <c r="J3" s="102"/>
      <c r="K3" s="118" t="s">
        <v>190</v>
      </c>
      <c r="L3" s="118" t="s">
        <v>324</v>
      </c>
      <c r="M3" s="90" t="s">
        <v>447</v>
      </c>
      <c r="O3" s="152"/>
      <c r="P3" s="152"/>
    </row>
    <row r="5" spans="1:16" s="20" customFormat="1" x14ac:dyDescent="0.2">
      <c r="A5" s="20" t="s">
        <v>191</v>
      </c>
      <c r="B5" s="39">
        <f>+'kolommenbalans 2020'!B50</f>
        <v>5456.9999999999982</v>
      </c>
      <c r="C5" s="39">
        <f>+'kolommenbalans 2020'!C50</f>
        <v>1675.0099999999948</v>
      </c>
      <c r="D5" s="39">
        <v>-473.84</v>
      </c>
      <c r="E5" s="39">
        <v>2801.83</v>
      </c>
      <c r="F5" s="39">
        <v>-9460</v>
      </c>
      <c r="G5" s="83"/>
      <c r="H5" s="39"/>
      <c r="I5" s="39"/>
      <c r="J5" s="83"/>
      <c r="K5" s="39">
        <f>+'kolommenbalans 2014'!K29</f>
        <v>0</v>
      </c>
      <c r="L5" s="39"/>
      <c r="M5" s="39"/>
      <c r="N5" s="39">
        <f>SUM(B5:K5)</f>
        <v>-7.2759576141834259E-12</v>
      </c>
      <c r="O5" s="153">
        <f>SUM(I5:K5)</f>
        <v>0</v>
      </c>
      <c r="P5" s="154"/>
    </row>
    <row r="6" spans="1:16" x14ac:dyDescent="0.2">
      <c r="A6" s="117">
        <v>43466</v>
      </c>
      <c r="B6" s="32">
        <f>-F6</f>
        <v>-80</v>
      </c>
      <c r="C6" s="32"/>
      <c r="D6" s="32"/>
      <c r="E6" s="32"/>
      <c r="F6" s="32">
        <v>80</v>
      </c>
      <c r="G6" s="132"/>
      <c r="H6" s="32"/>
      <c r="I6" s="32"/>
      <c r="J6" s="132"/>
      <c r="M6" s="32"/>
      <c r="N6" s="39">
        <f>SUM(B6:M6)</f>
        <v>0</v>
      </c>
      <c r="O6" s="155" t="s">
        <v>642</v>
      </c>
    </row>
    <row r="7" spans="1:16" x14ac:dyDescent="0.2">
      <c r="A7" s="117">
        <v>43470</v>
      </c>
      <c r="B7" s="32">
        <v>-59.82</v>
      </c>
      <c r="C7" s="32"/>
      <c r="E7" s="32"/>
      <c r="G7" s="132"/>
      <c r="H7" s="32"/>
      <c r="K7" s="32">
        <v>59.82</v>
      </c>
      <c r="M7" s="32"/>
      <c r="N7" s="39">
        <f t="shared" ref="N7:N29" si="0">SUM(B7:M7)</f>
        <v>0</v>
      </c>
      <c r="O7" s="155" t="s">
        <v>643</v>
      </c>
    </row>
    <row r="8" spans="1:16" x14ac:dyDescent="0.2">
      <c r="A8" s="117">
        <v>44208</v>
      </c>
      <c r="B8" s="32">
        <v>-1000</v>
      </c>
      <c r="C8" s="32"/>
      <c r="E8" s="32"/>
      <c r="F8" s="32">
        <f>-B8</f>
        <v>1000</v>
      </c>
      <c r="G8" s="132"/>
      <c r="H8" s="32"/>
      <c r="M8" s="32"/>
      <c r="N8" s="39">
        <f t="shared" si="0"/>
        <v>0</v>
      </c>
      <c r="O8" s="155" t="s">
        <v>696</v>
      </c>
    </row>
    <row r="9" spans="1:16" x14ac:dyDescent="0.2">
      <c r="A9" s="117">
        <v>44222</v>
      </c>
      <c r="B9" s="32">
        <v>-8.94</v>
      </c>
      <c r="C9" s="32"/>
      <c r="D9" s="32"/>
      <c r="E9" s="32"/>
      <c r="G9" s="132"/>
      <c r="H9" s="32"/>
      <c r="I9" s="32"/>
      <c r="J9" s="132"/>
      <c r="K9" s="32">
        <v>8.94</v>
      </c>
      <c r="M9" s="32"/>
      <c r="N9" s="39">
        <f t="shared" si="0"/>
        <v>0</v>
      </c>
      <c r="O9" s="155" t="s">
        <v>644</v>
      </c>
    </row>
    <row r="10" spans="1:16" x14ac:dyDescent="0.2">
      <c r="A10" s="117">
        <v>43497</v>
      </c>
      <c r="B10" s="32">
        <f>-F10</f>
        <v>-80</v>
      </c>
      <c r="C10" s="32"/>
      <c r="E10" s="32"/>
      <c r="F10" s="32">
        <v>80</v>
      </c>
      <c r="G10" s="132"/>
      <c r="H10" s="32"/>
      <c r="N10" s="39">
        <f t="shared" si="0"/>
        <v>0</v>
      </c>
      <c r="O10" s="155" t="s">
        <v>642</v>
      </c>
    </row>
    <row r="11" spans="1:16" x14ac:dyDescent="0.2">
      <c r="A11" s="117">
        <v>44253</v>
      </c>
      <c r="B11" s="32">
        <v>-9.36</v>
      </c>
      <c r="C11" s="32"/>
      <c r="E11" s="32"/>
      <c r="G11" s="132"/>
      <c r="H11" s="32"/>
      <c r="K11" s="32">
        <v>9.36</v>
      </c>
      <c r="N11" s="39">
        <f t="shared" si="0"/>
        <v>0</v>
      </c>
      <c r="O11" s="155" t="s">
        <v>644</v>
      </c>
    </row>
    <row r="12" spans="1:16" x14ac:dyDescent="0.2">
      <c r="A12" s="117">
        <v>43891</v>
      </c>
      <c r="B12" s="32">
        <f>-F12</f>
        <v>-80</v>
      </c>
      <c r="C12" s="32"/>
      <c r="D12" s="32"/>
      <c r="E12" s="32"/>
      <c r="F12" s="32">
        <v>80</v>
      </c>
      <c r="G12" s="132"/>
      <c r="H12" s="32"/>
      <c r="I12" s="32"/>
      <c r="J12" s="132"/>
      <c r="M12" s="32"/>
      <c r="N12" s="39">
        <f t="shared" si="0"/>
        <v>0</v>
      </c>
      <c r="O12" s="155" t="s">
        <v>642</v>
      </c>
    </row>
    <row r="13" spans="1:16" x14ac:dyDescent="0.2">
      <c r="A13" s="117">
        <v>44279</v>
      </c>
      <c r="B13" s="32">
        <v>-1000</v>
      </c>
      <c r="C13" s="32"/>
      <c r="D13" s="32"/>
      <c r="E13" s="32"/>
      <c r="F13" s="32">
        <f>-B13</f>
        <v>1000</v>
      </c>
      <c r="G13" s="132"/>
      <c r="H13" s="32"/>
      <c r="I13" s="32"/>
      <c r="J13" s="132"/>
      <c r="M13" s="32"/>
      <c r="N13" s="39">
        <f t="shared" si="0"/>
        <v>0</v>
      </c>
      <c r="O13" s="155" t="s">
        <v>697</v>
      </c>
    </row>
    <row r="14" spans="1:16" x14ac:dyDescent="0.2">
      <c r="A14" s="117">
        <v>44279</v>
      </c>
      <c r="B14" s="32">
        <v>-8.9499999999999993</v>
      </c>
      <c r="C14" s="32"/>
      <c r="E14" s="32"/>
      <c r="G14" s="132"/>
      <c r="H14" s="32"/>
      <c r="K14" s="32">
        <v>8.9499999999999993</v>
      </c>
      <c r="N14" s="39">
        <f t="shared" si="0"/>
        <v>0</v>
      </c>
      <c r="O14" s="155" t="s">
        <v>644</v>
      </c>
    </row>
    <row r="15" spans="1:16" x14ac:dyDescent="0.2">
      <c r="A15" s="117">
        <v>43922</v>
      </c>
      <c r="B15" s="32">
        <f>-F15</f>
        <v>-80</v>
      </c>
      <c r="C15" s="32"/>
      <c r="E15" s="32"/>
      <c r="F15" s="32">
        <v>80</v>
      </c>
      <c r="G15" s="132"/>
      <c r="H15" s="32"/>
      <c r="M15" s="32"/>
      <c r="N15" s="39">
        <f t="shared" si="0"/>
        <v>0</v>
      </c>
      <c r="O15" s="155" t="s">
        <v>642</v>
      </c>
    </row>
    <row r="16" spans="1:16" x14ac:dyDescent="0.2">
      <c r="A16" s="117">
        <v>43947</v>
      </c>
      <c r="B16" s="32">
        <v>-9.15</v>
      </c>
      <c r="C16" s="32"/>
      <c r="E16" s="32"/>
      <c r="G16" s="132"/>
      <c r="H16" s="32"/>
      <c r="K16" s="32">
        <v>9.15</v>
      </c>
      <c r="N16" s="39">
        <f t="shared" si="0"/>
        <v>0</v>
      </c>
      <c r="O16" s="155" t="s">
        <v>644</v>
      </c>
    </row>
    <row r="17" spans="1:16" x14ac:dyDescent="0.2">
      <c r="A17" s="117">
        <v>43952</v>
      </c>
      <c r="B17" s="32">
        <f t="shared" ref="B17" si="1">-F17</f>
        <v>-80</v>
      </c>
      <c r="C17" s="32"/>
      <c r="E17" s="32"/>
      <c r="F17" s="32">
        <v>80</v>
      </c>
      <c r="G17" s="132"/>
      <c r="H17" s="32"/>
      <c r="N17" s="39">
        <f t="shared" si="0"/>
        <v>0</v>
      </c>
      <c r="O17" s="155" t="s">
        <v>642</v>
      </c>
    </row>
    <row r="18" spans="1:16" x14ac:dyDescent="0.2">
      <c r="A18" s="117">
        <v>43977</v>
      </c>
      <c r="B18" s="32">
        <v>-8.9499999999999993</v>
      </c>
      <c r="C18" s="32"/>
      <c r="E18" s="32"/>
      <c r="G18" s="132"/>
      <c r="H18" s="32"/>
      <c r="K18" s="32">
        <v>8.9499999999999993</v>
      </c>
      <c r="N18" s="39">
        <f t="shared" si="0"/>
        <v>0</v>
      </c>
      <c r="O18" s="155" t="s">
        <v>644</v>
      </c>
    </row>
    <row r="19" spans="1:16" s="99" customFormat="1" x14ac:dyDescent="0.2">
      <c r="A19" s="117">
        <v>43983</v>
      </c>
      <c r="B19" s="32">
        <f>-F19</f>
        <v>-80</v>
      </c>
      <c r="C19" s="32"/>
      <c r="D19"/>
      <c r="E19" s="32"/>
      <c r="F19" s="32">
        <v>80</v>
      </c>
      <c r="G19" s="132"/>
      <c r="H19" s="32"/>
      <c r="I19"/>
      <c r="J19" s="84"/>
      <c r="K19" s="32"/>
      <c r="L19" s="32"/>
      <c r="M19"/>
      <c r="N19" s="39">
        <f t="shared" si="0"/>
        <v>0</v>
      </c>
      <c r="O19" s="155" t="s">
        <v>642</v>
      </c>
    </row>
    <row r="20" spans="1:16" s="99" customFormat="1" x14ac:dyDescent="0.2">
      <c r="A20" s="117">
        <v>44351</v>
      </c>
      <c r="B20" s="32">
        <v>-1500</v>
      </c>
      <c r="C20" s="32"/>
      <c r="D20"/>
      <c r="E20" s="32"/>
      <c r="F20" s="32">
        <v>1500</v>
      </c>
      <c r="G20" s="132"/>
      <c r="H20" s="32"/>
      <c r="I20"/>
      <c r="J20" s="84"/>
      <c r="K20" s="32"/>
      <c r="L20" s="32"/>
      <c r="M20"/>
      <c r="N20" s="39">
        <f t="shared" si="0"/>
        <v>0</v>
      </c>
      <c r="O20" s="155" t="s">
        <v>696</v>
      </c>
    </row>
    <row r="21" spans="1:16" s="99" customFormat="1" x14ac:dyDescent="0.2">
      <c r="A21" s="117">
        <v>44008</v>
      </c>
      <c r="B21" s="32">
        <v>-9.0299999999999994</v>
      </c>
      <c r="C21"/>
      <c r="D21"/>
      <c r="E21" s="32"/>
      <c r="F21" s="32"/>
      <c r="G21" s="132"/>
      <c r="H21" s="32"/>
      <c r="I21" s="32"/>
      <c r="J21" s="132"/>
      <c r="K21" s="32">
        <v>9.0299999999999994</v>
      </c>
      <c r="L21" s="32"/>
      <c r="M21" s="32"/>
      <c r="N21" s="39">
        <f t="shared" si="0"/>
        <v>0</v>
      </c>
      <c r="O21" s="155" t="s">
        <v>644</v>
      </c>
    </row>
    <row r="22" spans="1:16" s="99" customFormat="1" x14ac:dyDescent="0.2">
      <c r="A22" s="117">
        <v>44013</v>
      </c>
      <c r="B22" s="32">
        <f>-F22</f>
        <v>-80</v>
      </c>
      <c r="C22" s="32"/>
      <c r="D22"/>
      <c r="E22" s="32"/>
      <c r="F22" s="32">
        <v>80</v>
      </c>
      <c r="G22" s="132"/>
      <c r="H22" s="32"/>
      <c r="I22" s="32"/>
      <c r="J22" s="132"/>
      <c r="K22" s="32"/>
      <c r="L22" s="32"/>
      <c r="M22" s="32"/>
      <c r="N22" s="39">
        <f t="shared" si="0"/>
        <v>0</v>
      </c>
      <c r="O22" s="155" t="s">
        <v>642</v>
      </c>
    </row>
    <row r="23" spans="1:16" s="99" customFormat="1" x14ac:dyDescent="0.2">
      <c r="A23" s="31">
        <v>44038</v>
      </c>
      <c r="B23" s="32">
        <v>-9.07</v>
      </c>
      <c r="C23" s="32"/>
      <c r="D23"/>
      <c r="E23" s="32"/>
      <c r="F23" s="32"/>
      <c r="G23" s="132"/>
      <c r="H23" s="32"/>
      <c r="I23" s="32"/>
      <c r="J23" s="132"/>
      <c r="K23" s="32">
        <v>9.07</v>
      </c>
      <c r="L23" s="32"/>
      <c r="M23" s="32"/>
      <c r="N23" s="39">
        <f t="shared" si="0"/>
        <v>0</v>
      </c>
      <c r="O23" s="155" t="s">
        <v>644</v>
      </c>
    </row>
    <row r="24" spans="1:16" s="99" customFormat="1" x14ac:dyDescent="0.2">
      <c r="A24" s="117">
        <v>44044</v>
      </c>
      <c r="B24" s="32">
        <f>-F24</f>
        <v>-80</v>
      </c>
      <c r="C24" s="32"/>
      <c r="D24" s="32"/>
      <c r="E24" s="32"/>
      <c r="F24" s="32">
        <v>80</v>
      </c>
      <c r="G24" s="132"/>
      <c r="H24" s="32"/>
      <c r="I24" s="32"/>
      <c r="J24" s="132"/>
      <c r="K24" s="32"/>
      <c r="L24" s="32"/>
      <c r="M24"/>
      <c r="N24" s="39">
        <f t="shared" si="0"/>
        <v>0</v>
      </c>
      <c r="O24" s="155" t="s">
        <v>642</v>
      </c>
    </row>
    <row r="25" spans="1:16" s="99" customFormat="1" x14ac:dyDescent="0.2">
      <c r="A25" s="117">
        <v>44426</v>
      </c>
      <c r="B25" s="32">
        <v>7500</v>
      </c>
      <c r="C25" s="32"/>
      <c r="D25" s="32"/>
      <c r="E25" s="32"/>
      <c r="F25" s="32"/>
      <c r="G25" s="132"/>
      <c r="H25" s="32">
        <v>-7500</v>
      </c>
      <c r="I25" s="32"/>
      <c r="J25" s="132"/>
      <c r="K25" s="32"/>
      <c r="L25" s="32"/>
      <c r="M25"/>
      <c r="N25" s="39">
        <f t="shared" si="0"/>
        <v>0</v>
      </c>
      <c r="O25" s="155" t="s">
        <v>698</v>
      </c>
    </row>
    <row r="26" spans="1:16" s="99" customFormat="1" x14ac:dyDescent="0.2">
      <c r="A26" s="117">
        <v>44069</v>
      </c>
      <c r="B26" s="32">
        <v>-8.9499999999999993</v>
      </c>
      <c r="C26" s="32"/>
      <c r="D26" s="32"/>
      <c r="E26" s="32"/>
      <c r="F26" s="32"/>
      <c r="G26" s="132"/>
      <c r="H26" s="32"/>
      <c r="I26" s="32"/>
      <c r="J26" s="132"/>
      <c r="K26" s="32">
        <v>8.9499999999999993</v>
      </c>
      <c r="L26" s="32"/>
      <c r="M26"/>
      <c r="N26" s="39">
        <f t="shared" si="0"/>
        <v>0</v>
      </c>
      <c r="O26" s="155" t="s">
        <v>644</v>
      </c>
    </row>
    <row r="27" spans="1:16" s="99" customFormat="1" x14ac:dyDescent="0.2">
      <c r="A27" s="117">
        <v>44075</v>
      </c>
      <c r="B27" s="32">
        <f t="shared" ref="B27:B29" si="2">-F27</f>
        <v>-80</v>
      </c>
      <c r="C27" s="32"/>
      <c r="D27" s="32"/>
      <c r="E27" s="32"/>
      <c r="F27" s="32">
        <v>80</v>
      </c>
      <c r="G27" s="132"/>
      <c r="H27" s="32"/>
      <c r="I27" s="32"/>
      <c r="J27" s="132"/>
      <c r="K27" s="32"/>
      <c r="L27" s="32"/>
      <c r="M27"/>
      <c r="N27" s="39">
        <f t="shared" si="0"/>
        <v>0</v>
      </c>
      <c r="O27" s="155" t="s">
        <v>642</v>
      </c>
    </row>
    <row r="28" spans="1:16" s="99" customFormat="1" x14ac:dyDescent="0.2">
      <c r="A28" s="117">
        <v>44100</v>
      </c>
      <c r="B28" s="32">
        <v>-9.15</v>
      </c>
      <c r="C28" s="32"/>
      <c r="D28" s="32"/>
      <c r="E28" s="32"/>
      <c r="F28" s="32"/>
      <c r="G28" s="132"/>
      <c r="H28" s="32"/>
      <c r="I28" s="32"/>
      <c r="J28" s="132"/>
      <c r="K28" s="32">
        <v>9.15</v>
      </c>
      <c r="L28" s="32"/>
      <c r="M28"/>
      <c r="N28" s="39">
        <f t="shared" si="0"/>
        <v>0</v>
      </c>
      <c r="O28" s="155" t="s">
        <v>644</v>
      </c>
    </row>
    <row r="29" spans="1:16" s="99" customFormat="1" x14ac:dyDescent="0.2">
      <c r="A29" s="117">
        <v>44105</v>
      </c>
      <c r="B29" s="32">
        <f t="shared" si="2"/>
        <v>-80</v>
      </c>
      <c r="C29" s="32"/>
      <c r="D29" s="32"/>
      <c r="E29" s="32"/>
      <c r="F29" s="32">
        <v>80</v>
      </c>
      <c r="G29" s="132"/>
      <c r="H29" s="32"/>
      <c r="I29" s="32"/>
      <c r="J29" s="132"/>
      <c r="K29" s="32"/>
      <c r="L29" s="32"/>
      <c r="M29"/>
      <c r="N29" s="39">
        <f t="shared" si="0"/>
        <v>0</v>
      </c>
      <c r="O29" s="155" t="s">
        <v>642</v>
      </c>
    </row>
    <row r="30" spans="1:16" s="99" customFormat="1" x14ac:dyDescent="0.2">
      <c r="A30" s="117">
        <v>44130</v>
      </c>
      <c r="B30" s="32">
        <v>-8.77</v>
      </c>
      <c r="C30" s="32"/>
      <c r="D30" s="32"/>
      <c r="E30" s="32"/>
      <c r="F30" s="32"/>
      <c r="G30" s="132"/>
      <c r="H30" s="32"/>
      <c r="I30" s="32"/>
      <c r="J30" s="132"/>
      <c r="K30" s="32">
        <v>8.77</v>
      </c>
      <c r="L30" s="32"/>
      <c r="M30"/>
      <c r="N30" s="39">
        <f t="shared" ref="N30:N32" si="3">SUM(B30:M30)</f>
        <v>0</v>
      </c>
      <c r="O30" s="155" t="s">
        <v>644</v>
      </c>
    </row>
    <row r="31" spans="1:16" s="147" customFormat="1" x14ac:dyDescent="0.2">
      <c r="A31" s="158">
        <v>44161</v>
      </c>
      <c r="B31" s="146">
        <v>-9.1199999999999992</v>
      </c>
      <c r="C31" s="146"/>
      <c r="D31" s="146"/>
      <c r="E31" s="146"/>
      <c r="F31" s="146"/>
      <c r="G31" s="159"/>
      <c r="H31" s="146"/>
      <c r="I31" s="146"/>
      <c r="J31" s="159"/>
      <c r="K31" s="146">
        <v>9.1199999999999992</v>
      </c>
      <c r="L31" s="146"/>
      <c r="N31" s="39">
        <f t="shared" si="3"/>
        <v>0</v>
      </c>
      <c r="O31" s="155" t="s">
        <v>644</v>
      </c>
      <c r="P31" s="99"/>
    </row>
    <row r="32" spans="1:16" s="147" customFormat="1" x14ac:dyDescent="0.2">
      <c r="A32" s="158">
        <v>44191</v>
      </c>
      <c r="B32" s="146">
        <v>-8.74</v>
      </c>
      <c r="C32" s="146"/>
      <c r="D32" s="146"/>
      <c r="E32" s="146"/>
      <c r="F32" s="146"/>
      <c r="G32" s="159"/>
      <c r="H32" s="146"/>
      <c r="I32" s="146"/>
      <c r="J32" s="159"/>
      <c r="K32" s="146">
        <v>8.74</v>
      </c>
      <c r="L32" s="146"/>
      <c r="N32" s="39">
        <f t="shared" si="3"/>
        <v>0</v>
      </c>
      <c r="O32" s="155" t="s">
        <v>644</v>
      </c>
      <c r="P32" s="99"/>
    </row>
    <row r="33" spans="1:16" x14ac:dyDescent="0.2">
      <c r="A33" s="140"/>
      <c r="B33" s="146"/>
      <c r="C33" s="32"/>
      <c r="D33" s="32"/>
      <c r="E33" s="32"/>
      <c r="G33" s="132"/>
      <c r="H33" s="32"/>
      <c r="I33" s="32"/>
      <c r="J33" s="132"/>
      <c r="N33" s="39"/>
      <c r="O33" s="155"/>
    </row>
    <row r="34" spans="1:16" s="20" customFormat="1" x14ac:dyDescent="0.2">
      <c r="A34" s="20" t="s">
        <v>203</v>
      </c>
      <c r="B34" s="39">
        <f>SUM(B5:B33)</f>
        <v>8488.9999999999982</v>
      </c>
      <c r="C34" s="39">
        <f>SUM(C5:C33)</f>
        <v>1675.0099999999948</v>
      </c>
      <c r="D34" s="39">
        <f>SUM(D5:D33)</f>
        <v>-473.84</v>
      </c>
      <c r="E34" s="39">
        <f>SUM(E5:E33)</f>
        <v>2801.83</v>
      </c>
      <c r="F34" s="39">
        <f>SUM(F5:F33)</f>
        <v>-5160</v>
      </c>
      <c r="G34" s="83">
        <f>SUM(G5:G30)</f>
        <v>0</v>
      </c>
      <c r="H34" s="39">
        <f>SUM(H5:H33)</f>
        <v>-7500</v>
      </c>
      <c r="I34" s="39">
        <f>SUM(I5:I33)</f>
        <v>0</v>
      </c>
      <c r="J34" s="83"/>
      <c r="K34" s="39">
        <f>SUM(K5:K33)</f>
        <v>168.00000000000003</v>
      </c>
      <c r="L34" s="39">
        <f>SUM(L5:L33)</f>
        <v>0</v>
      </c>
      <c r="M34" s="39">
        <f>SUM(M5:M33)</f>
        <v>0</v>
      </c>
      <c r="N34" s="146">
        <f>SUM(N5:N33)</f>
        <v>-7.2759576141834259E-12</v>
      </c>
      <c r="O34" s="153">
        <f>SUM(B34:L34)</f>
        <v>-7.2475359047530219E-12</v>
      </c>
      <c r="P34" s="154"/>
    </row>
    <row r="35" spans="1:16" s="20" customFormat="1" x14ac:dyDescent="0.2">
      <c r="B35" s="39"/>
      <c r="C35" s="39"/>
      <c r="D35" s="39"/>
      <c r="E35" s="39"/>
      <c r="F35" s="39"/>
      <c r="G35" s="83"/>
      <c r="H35" s="39"/>
      <c r="I35" s="39"/>
      <c r="J35" s="83"/>
      <c r="K35" s="39"/>
      <c r="L35" s="39"/>
      <c r="M35" s="39"/>
      <c r="N35" s="146"/>
      <c r="O35" s="153"/>
      <c r="P35" s="154"/>
    </row>
    <row r="36" spans="1:16" x14ac:dyDescent="0.2">
      <c r="A36" s="20" t="s">
        <v>199</v>
      </c>
      <c r="B36" s="32"/>
      <c r="C36" s="32"/>
      <c r="D36" s="32"/>
      <c r="E36" s="32"/>
      <c r="G36" s="132"/>
      <c r="H36" s="32"/>
      <c r="I36" s="32"/>
      <c r="J36" s="132"/>
      <c r="M36" s="32"/>
      <c r="N36" s="146"/>
      <c r="O36" s="155"/>
    </row>
    <row r="37" spans="1:16" x14ac:dyDescent="0.2">
      <c r="A37" s="70" t="s">
        <v>549</v>
      </c>
      <c r="B37" s="32"/>
      <c r="C37" s="32"/>
      <c r="D37" s="72">
        <f>-K37</f>
        <v>168.00000000000003</v>
      </c>
      <c r="E37" s="32"/>
      <c r="G37" s="132"/>
      <c r="I37" s="32"/>
      <c r="J37" s="132"/>
      <c r="K37" s="32">
        <f>-K34</f>
        <v>-168.00000000000003</v>
      </c>
      <c r="M37" s="32"/>
      <c r="N37" s="146">
        <f>+K37+L37+D37</f>
        <v>0</v>
      </c>
      <c r="O37" s="252"/>
      <c r="P37" s="238"/>
    </row>
    <row r="38" spans="1:16" x14ac:dyDescent="0.2">
      <c r="A38" s="147"/>
      <c r="B38" s="32"/>
      <c r="C38" s="32"/>
      <c r="D38" s="47"/>
      <c r="E38" s="32"/>
      <c r="G38" s="132"/>
      <c r="I38" s="32"/>
      <c r="J38" s="132"/>
      <c r="M38" s="32"/>
      <c r="N38" s="146"/>
      <c r="O38" s="155"/>
    </row>
    <row r="39" spans="1:16" s="20" customFormat="1" x14ac:dyDescent="0.2">
      <c r="A39" s="20" t="s">
        <v>194</v>
      </c>
      <c r="B39" s="39">
        <f>+SUM(B34:B38)</f>
        <v>8488.9999999999982</v>
      </c>
      <c r="C39" s="39">
        <f>+SUM(C34:C38)</f>
        <v>1675.0099999999948</v>
      </c>
      <c r="D39" s="39">
        <f>+SUM(D34:D38)</f>
        <v>-305.83999999999992</v>
      </c>
      <c r="E39" s="39">
        <f>+SUM(E34:E38)</f>
        <v>2801.83</v>
      </c>
      <c r="F39" s="39">
        <f>+SUM(F34:F38)</f>
        <v>-5160</v>
      </c>
      <c r="G39" s="83"/>
      <c r="H39" s="39">
        <f>+SUM(H34:H38)</f>
        <v>-7500</v>
      </c>
      <c r="I39" s="39">
        <f>+SUM(I34:I38)</f>
        <v>0</v>
      </c>
      <c r="J39" s="83"/>
      <c r="K39" s="39">
        <v>0</v>
      </c>
      <c r="L39" s="39">
        <f>+SUM(L34:L38)</f>
        <v>0</v>
      </c>
      <c r="M39" s="39">
        <f>+SUM(M34:M38)</f>
        <v>0</v>
      </c>
      <c r="N39" s="186"/>
      <c r="O39" s="153"/>
      <c r="P39" s="154"/>
    </row>
    <row r="40" spans="1:16" x14ac:dyDescent="0.2">
      <c r="B40" s="32"/>
      <c r="C40" s="32"/>
      <c r="D40" s="32"/>
      <c r="E40" s="32"/>
      <c r="G40" s="132"/>
      <c r="H40" s="32"/>
      <c r="I40" s="32"/>
      <c r="J40" s="132"/>
      <c r="M40" s="32"/>
      <c r="N40" s="146"/>
      <c r="O40" s="155"/>
    </row>
    <row r="41" spans="1:16" s="20" customFormat="1" x14ac:dyDescent="0.2">
      <c r="A41" s="20" t="s">
        <v>701</v>
      </c>
      <c r="B41" s="39"/>
      <c r="C41" s="39"/>
      <c r="E41" s="111">
        <f>-SUM(H41:I41)+SUM(K41:M41)</f>
        <v>-7500</v>
      </c>
      <c r="F41" s="32"/>
      <c r="G41" s="132"/>
      <c r="H41" s="32">
        <f>-H39</f>
        <v>7500</v>
      </c>
      <c r="I41" s="32">
        <f>-I34</f>
        <v>0</v>
      </c>
      <c r="J41" s="132"/>
      <c r="K41" s="32">
        <f>-K39</f>
        <v>0</v>
      </c>
      <c r="L41" s="32">
        <f>-L39</f>
        <v>0</v>
      </c>
      <c r="M41" s="72">
        <f>-M39</f>
        <v>0</v>
      </c>
      <c r="N41" s="146">
        <f>+H41+E41</f>
        <v>0</v>
      </c>
      <c r="O41" s="153"/>
      <c r="P41" s="154"/>
    </row>
    <row r="42" spans="1:16" x14ac:dyDescent="0.2">
      <c r="B42" s="32"/>
      <c r="C42" s="32"/>
      <c r="D42" s="32"/>
      <c r="E42" s="32"/>
      <c r="G42" s="132"/>
      <c r="H42" s="32"/>
      <c r="I42" s="32"/>
      <c r="J42" s="132"/>
      <c r="M42" s="32"/>
      <c r="N42" s="146"/>
      <c r="O42" s="155"/>
    </row>
    <row r="43" spans="1:16" s="20" customFormat="1" x14ac:dyDescent="0.2">
      <c r="A43" s="20" t="s">
        <v>240</v>
      </c>
      <c r="B43" s="39">
        <f>+B39+B41</f>
        <v>8488.9999999999982</v>
      </c>
      <c r="C43" s="39">
        <f>+C39+C41</f>
        <v>1675.0099999999948</v>
      </c>
      <c r="D43" s="39">
        <f t="shared" ref="D43:F43" si="4">+D39+D41</f>
        <v>-305.83999999999992</v>
      </c>
      <c r="E43" s="39">
        <f>+E39+E41</f>
        <v>-4698.17</v>
      </c>
      <c r="F43" s="39">
        <f t="shared" si="4"/>
        <v>-5160</v>
      </c>
      <c r="G43" s="83"/>
      <c r="H43" s="39">
        <f t="shared" ref="H43:M43" si="5">+H39+H41</f>
        <v>0</v>
      </c>
      <c r="I43" s="39">
        <f t="shared" si="5"/>
        <v>0</v>
      </c>
      <c r="J43" s="83"/>
      <c r="K43" s="39">
        <f t="shared" si="5"/>
        <v>0</v>
      </c>
      <c r="L43" s="39">
        <f t="shared" si="5"/>
        <v>0</v>
      </c>
      <c r="M43" s="39">
        <f t="shared" si="5"/>
        <v>0</v>
      </c>
      <c r="N43" s="146">
        <f>SUM(B43:F43)</f>
        <v>-7.2759576141834259E-12</v>
      </c>
      <c r="O43" s="153"/>
      <c r="P43" s="154"/>
    </row>
    <row r="45" spans="1:16" s="133" customFormat="1" ht="15" x14ac:dyDescent="0.2">
      <c r="A45" s="147" t="s">
        <v>592</v>
      </c>
      <c r="C45" s="134"/>
      <c r="D45" s="134"/>
      <c r="F45" s="134"/>
      <c r="G45" s="135"/>
      <c r="J45" s="135"/>
      <c r="K45" s="134"/>
      <c r="L45" s="134"/>
      <c r="O45" s="99"/>
      <c r="P45" s="99"/>
    </row>
    <row r="46" spans="1:16" x14ac:dyDescent="0.2">
      <c r="A46" s="161" t="s">
        <v>550</v>
      </c>
      <c r="B46" s="146">
        <f>-F5</f>
        <v>9460</v>
      </c>
      <c r="C46" s="147"/>
      <c r="F46" s="146"/>
    </row>
    <row r="47" spans="1:16" x14ac:dyDescent="0.2">
      <c r="A47" s="148" t="s">
        <v>450</v>
      </c>
      <c r="B47" s="146">
        <v>960</v>
      </c>
      <c r="C47" s="146">
        <v>-800</v>
      </c>
      <c r="D47" s="148"/>
      <c r="E47" s="148"/>
      <c r="F47" s="146">
        <f>+B47+C47</f>
        <v>160</v>
      </c>
    </row>
    <row r="48" spans="1:16" ht="13.5" customHeight="1" x14ac:dyDescent="0.2">
      <c r="A48" s="148"/>
      <c r="B48" s="146"/>
      <c r="C48" s="160"/>
      <c r="D48" s="146"/>
      <c r="E48" s="147"/>
      <c r="F48" s="146"/>
    </row>
    <row r="49" spans="1:16" ht="15" x14ac:dyDescent="0.35">
      <c r="A49" s="147" t="s">
        <v>658</v>
      </c>
      <c r="B49" s="146"/>
      <c r="C49" s="147"/>
      <c r="D49" s="146"/>
      <c r="E49" s="147"/>
      <c r="F49" s="45"/>
    </row>
    <row r="50" spans="1:16" ht="13.5" customHeight="1" x14ac:dyDescent="0.2">
      <c r="A50" s="148" t="s">
        <v>659</v>
      </c>
      <c r="B50" s="146">
        <v>1000</v>
      </c>
      <c r="C50" s="160">
        <f>-F13</f>
        <v>-1000</v>
      </c>
      <c r="D50" s="146"/>
      <c r="E50" s="147"/>
      <c r="F50" s="146">
        <f>+B50+C50</f>
        <v>0</v>
      </c>
    </row>
    <row r="51" spans="1:16" ht="13.5" customHeight="1" x14ac:dyDescent="0.2">
      <c r="A51" s="148" t="s">
        <v>660</v>
      </c>
      <c r="B51" s="146">
        <v>2500</v>
      </c>
      <c r="C51" s="160">
        <f>-F8-F20</f>
        <v>-2500</v>
      </c>
      <c r="D51" s="146"/>
      <c r="E51" s="147"/>
      <c r="F51" s="146">
        <f t="shared" ref="F51:F54" si="6">+B51+C51</f>
        <v>0</v>
      </c>
    </row>
    <row r="52" spans="1:16" ht="13.5" customHeight="1" x14ac:dyDescent="0.2">
      <c r="A52" s="148" t="s">
        <v>661</v>
      </c>
      <c r="B52" s="146">
        <v>1000</v>
      </c>
      <c r="C52" s="147"/>
      <c r="D52" s="146"/>
      <c r="E52" s="147"/>
      <c r="F52" s="146">
        <f t="shared" si="6"/>
        <v>1000</v>
      </c>
    </row>
    <row r="53" spans="1:16" x14ac:dyDescent="0.2">
      <c r="A53" s="148" t="s">
        <v>662</v>
      </c>
      <c r="B53" s="146">
        <v>3000</v>
      </c>
      <c r="C53" s="147"/>
      <c r="D53" s="146"/>
      <c r="E53" s="147"/>
      <c r="F53" s="146">
        <f t="shared" si="6"/>
        <v>3000</v>
      </c>
    </row>
    <row r="54" spans="1:16" x14ac:dyDescent="0.2">
      <c r="A54" s="148" t="s">
        <v>663</v>
      </c>
      <c r="B54" s="146">
        <v>1000</v>
      </c>
      <c r="C54" s="146"/>
      <c r="D54" s="146"/>
      <c r="E54" s="147"/>
      <c r="F54" s="146">
        <f t="shared" si="6"/>
        <v>1000</v>
      </c>
    </row>
    <row r="55" spans="1:16" s="84" customFormat="1" x14ac:dyDescent="0.2">
      <c r="A55" s="107" t="s">
        <v>704</v>
      </c>
      <c r="B55" s="39">
        <f>SUM(B47:B54)</f>
        <v>9460</v>
      </c>
      <c r="C55" s="39">
        <f>SUM(C47:C54)</f>
        <v>-4300</v>
      </c>
      <c r="D55" s="39"/>
      <c r="E55" s="20" t="s">
        <v>684</v>
      </c>
      <c r="F55" s="39">
        <f>SUM(F47:F54)</f>
        <v>5160</v>
      </c>
      <c r="H55" s="187">
        <f>+B55+C55</f>
        <v>5160</v>
      </c>
      <c r="I55"/>
      <c r="K55" s="32"/>
      <c r="L55" s="32"/>
      <c r="M55"/>
      <c r="N55"/>
      <c r="O55" s="99"/>
      <c r="P55" s="99"/>
    </row>
    <row r="56" spans="1:16" s="84" customFormat="1" x14ac:dyDescent="0.2">
      <c r="A56" s="147"/>
      <c r="B56" s="146"/>
      <c r="C56" s="146"/>
      <c r="D56" s="146"/>
      <c r="E56" s="147"/>
      <c r="F56" s="146"/>
      <c r="H56"/>
      <c r="I56"/>
      <c r="K56" s="32"/>
      <c r="L56" s="32"/>
      <c r="M56"/>
      <c r="N56"/>
      <c r="O56" s="99"/>
      <c r="P56" s="99"/>
    </row>
    <row r="57" spans="1:16" s="84" customFormat="1" x14ac:dyDescent="0.2">
      <c r="A57" s="161" t="s">
        <v>670</v>
      </c>
      <c r="B57" s="146"/>
      <c r="C57" s="146"/>
      <c r="D57" s="146"/>
      <c r="E57" s="147"/>
      <c r="F57" s="146"/>
      <c r="H57"/>
      <c r="I57"/>
      <c r="K57" s="32"/>
      <c r="L57" s="32"/>
      <c r="M57"/>
      <c r="N57"/>
      <c r="O57" s="99"/>
      <c r="P57" s="99"/>
    </row>
    <row r="58" spans="1:16" s="84" customFormat="1" x14ac:dyDescent="0.2">
      <c r="A58" s="148" t="s">
        <v>700</v>
      </c>
      <c r="B58" s="146">
        <f>+D5</f>
        <v>-473.84</v>
      </c>
      <c r="C58" s="32"/>
      <c r="D58" s="32"/>
      <c r="E58"/>
      <c r="F58" s="32"/>
      <c r="H58"/>
      <c r="I58"/>
      <c r="K58" s="32"/>
      <c r="L58" s="32"/>
      <c r="M58"/>
      <c r="N58"/>
      <c r="O58" s="99"/>
      <c r="P58" s="99"/>
    </row>
    <row r="59" spans="1:16" s="84" customFormat="1" x14ac:dyDescent="0.2">
      <c r="A59" s="148" t="s">
        <v>699</v>
      </c>
      <c r="B59" s="160">
        <f>+K34</f>
        <v>168.00000000000003</v>
      </c>
      <c r="C59" s="70"/>
      <c r="D59" s="32"/>
      <c r="E59"/>
      <c r="F59" s="32"/>
      <c r="H59"/>
      <c r="I59"/>
      <c r="K59" s="32"/>
      <c r="L59" s="32"/>
      <c r="M59"/>
      <c r="N59"/>
      <c r="O59" s="99"/>
      <c r="P59" s="99"/>
    </row>
    <row r="60" spans="1:16" s="84" customFormat="1" x14ac:dyDescent="0.2">
      <c r="A60" s="148" t="s">
        <v>674</v>
      </c>
      <c r="B60" s="47">
        <f>SUM(B58:B59)</f>
        <v>-305.83999999999992</v>
      </c>
      <c r="C60"/>
      <c r="D60"/>
      <c r="E60"/>
      <c r="F60" s="32"/>
      <c r="H60"/>
      <c r="I60"/>
      <c r="K60" s="32"/>
      <c r="L60" s="32"/>
      <c r="M60"/>
      <c r="N60"/>
      <c r="O60" s="99"/>
      <c r="P60" s="99"/>
    </row>
    <row r="61" spans="1:16" s="84" customFormat="1" x14ac:dyDescent="0.2">
      <c r="A61"/>
      <c r="B61"/>
      <c r="C61"/>
      <c r="D61" s="112"/>
      <c r="E61"/>
      <c r="F61" s="32"/>
      <c r="H61"/>
      <c r="I61"/>
      <c r="K61" s="32"/>
      <c r="L61" s="32"/>
      <c r="M61"/>
      <c r="N61"/>
      <c r="O61" s="99"/>
      <c r="P61" s="99"/>
    </row>
    <row r="66" spans="1:16" s="84" customFormat="1" x14ac:dyDescent="0.2">
      <c r="A66" s="147"/>
      <c r="B66" s="146"/>
      <c r="C66" s="147"/>
      <c r="D66" s="146"/>
      <c r="E66" s="147"/>
      <c r="F66" s="146"/>
      <c r="H66"/>
      <c r="I66"/>
      <c r="K66" s="32"/>
      <c r="L66" s="32"/>
      <c r="M66"/>
      <c r="N66"/>
      <c r="O66" s="99"/>
      <c r="P66" s="99"/>
    </row>
    <row r="67" spans="1:16" s="84" customFormat="1" x14ac:dyDescent="0.2">
      <c r="A67" s="162"/>
      <c r="B67" s="70"/>
      <c r="C67" s="70"/>
      <c r="D67" s="70"/>
      <c r="E67" s="72"/>
      <c r="F67" s="72"/>
      <c r="H67"/>
      <c r="I67"/>
      <c r="K67" s="32"/>
      <c r="L67" s="32"/>
      <c r="M67"/>
      <c r="N67"/>
      <c r="O67" s="99"/>
      <c r="P67" s="99"/>
    </row>
    <row r="68" spans="1:16" s="84" customFormat="1" x14ac:dyDescent="0.2">
      <c r="A68" s="162"/>
      <c r="B68" s="70"/>
      <c r="C68" s="70"/>
      <c r="D68" s="70"/>
      <c r="E68" s="32"/>
      <c r="F68" s="32"/>
      <c r="H68"/>
      <c r="I68"/>
      <c r="K68" s="32"/>
      <c r="L68" s="32"/>
      <c r="M68"/>
      <c r="N68"/>
      <c r="O68" s="99"/>
      <c r="P68" s="99"/>
    </row>
    <row r="69" spans="1:16" s="84" customFormat="1" x14ac:dyDescent="0.2">
      <c r="A69" s="148"/>
      <c r="B69" s="70"/>
      <c r="C69" s="70"/>
      <c r="D69" s="70"/>
      <c r="E69" s="32"/>
      <c r="F69" s="32"/>
      <c r="H69"/>
      <c r="I69"/>
      <c r="K69" s="32"/>
      <c r="L69" s="32"/>
      <c r="M69"/>
      <c r="N69"/>
      <c r="O69" s="99"/>
      <c r="P69" s="99"/>
    </row>
    <row r="70" spans="1:16" s="84" customFormat="1" x14ac:dyDescent="0.2">
      <c r="A70" s="162"/>
      <c r="B70" s="70"/>
      <c r="C70" s="70"/>
      <c r="D70" s="70"/>
      <c r="E70" s="139"/>
      <c r="F70" s="151"/>
      <c r="H70"/>
      <c r="I70"/>
      <c r="K70" s="32"/>
      <c r="L70" s="32"/>
      <c r="M70"/>
      <c r="N70"/>
      <c r="O70" s="99"/>
      <c r="P70" s="99"/>
    </row>
    <row r="71" spans="1:16" s="84" customFormat="1" x14ac:dyDescent="0.2">
      <c r="A71" s="162"/>
      <c r="B71" s="70"/>
      <c r="C71" s="70"/>
      <c r="D71" s="70"/>
      <c r="E71" s="72"/>
      <c r="F71" s="146"/>
      <c r="H71"/>
      <c r="I71"/>
      <c r="K71" s="32"/>
      <c r="L71" s="32"/>
      <c r="M71"/>
      <c r="N71"/>
      <c r="O71" s="99"/>
      <c r="P71" s="99"/>
    </row>
    <row r="72" spans="1:16" s="84" customFormat="1" ht="15" x14ac:dyDescent="0.35">
      <c r="A72" s="162"/>
      <c r="B72" s="147"/>
      <c r="C72" s="147"/>
      <c r="D72" s="147"/>
      <c r="E72" s="72"/>
      <c r="F72" s="45"/>
      <c r="H72"/>
      <c r="I72"/>
      <c r="K72" s="32"/>
      <c r="L72" s="32"/>
      <c r="M72"/>
      <c r="N72"/>
      <c r="O72" s="99"/>
      <c r="P72" s="99"/>
    </row>
    <row r="73" spans="1:16" s="84" customFormat="1" x14ac:dyDescent="0.2">
      <c r="A73" s="147"/>
      <c r="B73" s="146"/>
      <c r="C73" s="147"/>
      <c r="D73" s="146"/>
      <c r="E73" s="147"/>
      <c r="F73" s="146"/>
      <c r="H73"/>
      <c r="I73"/>
      <c r="K73" s="32"/>
      <c r="L73" s="32"/>
      <c r="M73"/>
      <c r="N73"/>
      <c r="O73" s="99"/>
      <c r="P73" s="99"/>
    </row>
  </sheetData>
  <mergeCells count="1">
    <mergeCell ref="O37:P37"/>
  </mergeCells>
  <printOptions gridLines="1"/>
  <pageMargins left="0.74803149606299213" right="0.74803149606299213" top="0.98425196850393704" bottom="0.98425196850393704" header="0.51181102362204722" footer="0.51181102362204722"/>
  <pageSetup paperSize="9" scale="53" orientation="portrait" r:id="rId1"/>
  <headerFooter alignWithMargins="0">
    <oddFooter>&amp;L&amp;F, &amp;A&amp;R&amp;D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E870-D6FF-4D5B-BF94-6CD41DA818F5}">
  <sheetPr>
    <pageSetUpPr fitToPage="1"/>
  </sheetPr>
  <dimension ref="A1:AO30"/>
  <sheetViews>
    <sheetView zoomScale="75" zoomScaleNormal="100" workbookViewId="0">
      <selection activeCell="E23" sqref="E23"/>
    </sheetView>
  </sheetViews>
  <sheetFormatPr defaultColWidth="8.85546875" defaultRowHeight="12.75" x14ac:dyDescent="0.2"/>
  <cols>
    <col min="1" max="1" width="6.42578125" customWidth="1"/>
    <col min="3" max="3" width="40.28515625" customWidth="1"/>
    <col min="4" max="4" width="9.140625" style="4" customWidth="1"/>
    <col min="5" max="5" width="10" style="4" bestFit="1" customWidth="1"/>
    <col min="6" max="6" width="1.28515625" customWidth="1"/>
    <col min="7" max="7" width="9.140625" style="4" customWidth="1"/>
    <col min="8" max="8" width="11" bestFit="1"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 min="22" max="22" width="9.140625" style="4" customWidth="1"/>
    <col min="24" max="24" width="2.42578125" customWidth="1"/>
    <col min="25" max="25" width="9.140625" style="4" customWidth="1"/>
    <col min="27" max="27" width="2.42578125" customWidth="1"/>
    <col min="28" max="28" width="9.140625" style="4" customWidth="1"/>
    <col min="30" max="30" width="2.42578125" customWidth="1"/>
    <col min="31" max="31" width="9.140625" style="4" customWidth="1"/>
    <col min="33" max="33" width="2.42578125" customWidth="1"/>
    <col min="36" max="36" width="2.42578125" customWidth="1"/>
  </cols>
  <sheetData>
    <row r="1" spans="1:38" ht="20.25" x14ac:dyDescent="0.3">
      <c r="A1" s="10" t="s">
        <v>69</v>
      </c>
    </row>
    <row r="3" spans="1:38" s="109" customFormat="1" x14ac:dyDescent="0.2">
      <c r="D3" s="247">
        <v>44196</v>
      </c>
      <c r="E3" s="247"/>
      <c r="G3" s="247">
        <v>43830</v>
      </c>
      <c r="H3" s="247"/>
      <c r="J3" s="247">
        <v>43465</v>
      </c>
      <c r="K3" s="247"/>
      <c r="M3" s="247">
        <v>43100</v>
      </c>
      <c r="N3" s="247"/>
      <c r="P3" s="247">
        <v>42735</v>
      </c>
      <c r="Q3" s="247"/>
      <c r="S3" s="247">
        <v>42369</v>
      </c>
      <c r="T3" s="247"/>
      <c r="V3" s="247">
        <v>42004</v>
      </c>
      <c r="W3" s="247"/>
      <c r="Y3" s="247">
        <v>41639</v>
      </c>
      <c r="Z3" s="247"/>
      <c r="AB3" s="247">
        <v>41274</v>
      </c>
      <c r="AC3" s="247"/>
      <c r="AE3" s="247">
        <v>40908</v>
      </c>
      <c r="AF3" s="247"/>
      <c r="AH3" s="247">
        <v>40543</v>
      </c>
      <c r="AI3" s="247"/>
      <c r="AJ3" s="110"/>
      <c r="AK3" s="247">
        <v>40178</v>
      </c>
      <c r="AL3" s="247"/>
    </row>
    <row r="4" spans="1:38" x14ac:dyDescent="0.2">
      <c r="D4" s="248" t="s">
        <v>73</v>
      </c>
      <c r="E4" s="248"/>
      <c r="G4" s="248" t="s">
        <v>73</v>
      </c>
      <c r="H4" s="248"/>
      <c r="J4" s="248" t="s">
        <v>73</v>
      </c>
      <c r="K4" s="248"/>
      <c r="M4" s="248" t="s">
        <v>73</v>
      </c>
      <c r="N4" s="248"/>
      <c r="P4" s="248" t="s">
        <v>73</v>
      </c>
      <c r="Q4" s="248"/>
      <c r="S4" s="248" t="s">
        <v>73</v>
      </c>
      <c r="T4" s="248"/>
      <c r="V4" s="248" t="s">
        <v>73</v>
      </c>
      <c r="W4" s="248"/>
      <c r="Y4" s="248" t="s">
        <v>73</v>
      </c>
      <c r="Z4" s="248"/>
      <c r="AB4" s="248" t="s">
        <v>73</v>
      </c>
      <c r="AC4" s="248"/>
      <c r="AE4" s="248" t="s">
        <v>73</v>
      </c>
      <c r="AF4" s="248"/>
      <c r="AH4" s="248" t="s">
        <v>73</v>
      </c>
      <c r="AI4" s="248"/>
      <c r="AJ4" s="35"/>
      <c r="AK4" s="248" t="s">
        <v>73</v>
      </c>
      <c r="AL4" s="248"/>
    </row>
    <row r="5" spans="1:38" ht="15.75" x14ac:dyDescent="0.25">
      <c r="A5" s="2" t="s">
        <v>21</v>
      </c>
      <c r="E5" s="173"/>
      <c r="H5" s="167"/>
      <c r="K5" s="8"/>
      <c r="N5" s="8"/>
      <c r="Q5" s="8"/>
      <c r="T5" s="8"/>
      <c r="W5" s="8"/>
      <c r="Z5" s="8"/>
      <c r="AC5" s="8"/>
      <c r="AF5" s="8"/>
      <c r="AH5" s="5"/>
      <c r="AI5" s="8"/>
      <c r="AJ5" s="7"/>
      <c r="AK5" s="5"/>
      <c r="AL5" s="8"/>
    </row>
    <row r="6" spans="1:38" s="12" customFormat="1" ht="19.5" customHeight="1" x14ac:dyDescent="0.2">
      <c r="A6" s="11" t="s">
        <v>23</v>
      </c>
      <c r="D6" s="68"/>
      <c r="E6" s="174"/>
      <c r="G6" s="68"/>
      <c r="H6" s="168"/>
      <c r="J6" s="68"/>
      <c r="K6" s="14"/>
      <c r="M6" s="68"/>
      <c r="N6" s="14"/>
      <c r="P6" s="68"/>
      <c r="Q6" s="14"/>
      <c r="S6" s="68"/>
      <c r="T6" s="14"/>
      <c r="V6" s="68"/>
      <c r="W6" s="14"/>
      <c r="Y6" s="68"/>
      <c r="Z6" s="14"/>
      <c r="AB6" s="68"/>
      <c r="AC6" s="14"/>
      <c r="AE6" s="68"/>
      <c r="AF6" s="14"/>
      <c r="AH6" s="13"/>
      <c r="AI6" s="14"/>
      <c r="AJ6" s="36"/>
      <c r="AK6" s="13"/>
      <c r="AL6" s="14"/>
    </row>
    <row r="7" spans="1:38" x14ac:dyDescent="0.2">
      <c r="A7" t="s">
        <v>25</v>
      </c>
      <c r="E7" s="175">
        <v>0</v>
      </c>
      <c r="H7" s="167">
        <v>0</v>
      </c>
      <c r="K7" s="8">
        <v>0</v>
      </c>
      <c r="N7" s="8">
        <v>0</v>
      </c>
      <c r="Q7" s="8">
        <v>0</v>
      </c>
      <c r="T7" s="8">
        <v>0</v>
      </c>
      <c r="W7" s="8">
        <v>0</v>
      </c>
      <c r="Z7" s="8">
        <v>0</v>
      </c>
      <c r="AC7" s="8">
        <v>0</v>
      </c>
      <c r="AF7" s="8">
        <v>0</v>
      </c>
      <c r="AH7" s="5"/>
      <c r="AI7" s="8">
        <v>0</v>
      </c>
      <c r="AJ7" s="7"/>
      <c r="AK7" s="5"/>
      <c r="AL7" s="8">
        <v>0</v>
      </c>
    </row>
    <row r="8" spans="1:38" x14ac:dyDescent="0.2">
      <c r="E8" s="176"/>
      <c r="H8" s="167"/>
      <c r="K8" s="8"/>
      <c r="N8" s="8"/>
      <c r="Q8" s="8"/>
      <c r="T8" s="8"/>
      <c r="W8" s="8"/>
      <c r="Z8" s="8"/>
      <c r="AC8" s="8"/>
      <c r="AF8" s="8"/>
      <c r="AH8" s="5"/>
      <c r="AI8" s="8"/>
      <c r="AJ8" s="7"/>
      <c r="AK8" s="5"/>
      <c r="AL8" s="8"/>
    </row>
    <row r="9" spans="1:38" s="12" customFormat="1" ht="19.5" customHeight="1" x14ac:dyDescent="0.2">
      <c r="A9" s="11" t="s">
        <v>24</v>
      </c>
      <c r="D9" s="68"/>
      <c r="E9" s="174"/>
      <c r="G9" s="68"/>
      <c r="H9" s="168"/>
      <c r="J9" s="68"/>
      <c r="K9" s="14"/>
      <c r="M9" s="68"/>
      <c r="N9" s="14"/>
      <c r="P9" s="68"/>
      <c r="Q9" s="14"/>
      <c r="S9" s="68"/>
      <c r="T9" s="14"/>
      <c r="V9" s="68"/>
      <c r="W9" s="14"/>
      <c r="Y9" s="68"/>
      <c r="Z9" s="14"/>
      <c r="AB9" s="68"/>
      <c r="AC9" s="14"/>
      <c r="AE9" s="68"/>
      <c r="AF9" s="14"/>
      <c r="AH9" s="13"/>
      <c r="AI9" s="14"/>
      <c r="AJ9" s="36"/>
      <c r="AK9" s="13"/>
      <c r="AL9" s="14"/>
    </row>
    <row r="10" spans="1:38" x14ac:dyDescent="0.2">
      <c r="A10" t="s">
        <v>26</v>
      </c>
      <c r="D10" s="4">
        <f>+'kolommenbalans 2020'!D46</f>
        <v>-473.83999999999992</v>
      </c>
      <c r="E10" s="176"/>
      <c r="G10" s="4">
        <v>-164.07999999999993</v>
      </c>
      <c r="H10" s="169"/>
      <c r="J10" s="4">
        <f>+'kolommenbalans 2018'!D46</f>
        <v>199.92000000000002</v>
      </c>
      <c r="K10" s="15"/>
      <c r="M10" s="4">
        <v>1894.85</v>
      </c>
      <c r="N10" s="15"/>
      <c r="P10" s="4">
        <f>+'balans 2016'!D10</f>
        <v>167.54</v>
      </c>
      <c r="Q10" s="15"/>
      <c r="S10" s="4">
        <f>+'balans 2015'!D10</f>
        <v>163.28</v>
      </c>
      <c r="T10" s="15"/>
      <c r="V10" s="4">
        <f>+'kolommenbalans 2014'!E29</f>
        <v>112.35</v>
      </c>
      <c r="W10" s="15"/>
      <c r="Y10" s="4">
        <v>99.669999999999987</v>
      </c>
      <c r="Z10" s="15"/>
      <c r="AB10" s="4">
        <v>62.07</v>
      </c>
      <c r="AC10" s="15"/>
      <c r="AE10" s="4">
        <v>69.2</v>
      </c>
      <c r="AF10" s="15"/>
      <c r="AH10" s="5">
        <v>0</v>
      </c>
      <c r="AI10" s="15"/>
      <c r="AJ10" s="26"/>
      <c r="AK10" s="5">
        <v>0</v>
      </c>
      <c r="AL10" s="15"/>
    </row>
    <row r="11" spans="1:38" ht="13.5" thickBot="1" x14ac:dyDescent="0.25">
      <c r="A11" s="70" t="s">
        <v>427</v>
      </c>
      <c r="D11" s="164">
        <f>+'kolommenbalans 2020'!B39+'kolommenbalans 2020'!C39</f>
        <v>7132.0099999999929</v>
      </c>
      <c r="E11" s="176"/>
      <c r="G11" s="164">
        <v>18260.939999999991</v>
      </c>
      <c r="H11" s="167"/>
      <c r="J11" s="9">
        <f>+'kolommenbalans 2018'!B46+'kolommenbalans 2018'!C46</f>
        <v>22356.939999999991</v>
      </c>
      <c r="K11" s="8"/>
      <c r="M11" s="9">
        <v>21340.339999999997</v>
      </c>
      <c r="N11" s="8"/>
      <c r="P11" s="9">
        <f>+'balans 2016'!D11</f>
        <v>19843.679999999993</v>
      </c>
      <c r="Q11" s="8"/>
      <c r="S11" s="4">
        <f>+'balans 2015'!D11</f>
        <v>21437.119999999995</v>
      </c>
      <c r="T11" s="8"/>
      <c r="V11" s="9">
        <f>+'kolommenbalans 2014'!C29+'kolommenbalans 2014'!D29</f>
        <v>18681.909999999996</v>
      </c>
      <c r="W11" s="8"/>
      <c r="Y11" s="9">
        <v>18624.18</v>
      </c>
      <c r="Z11" s="8"/>
      <c r="AB11" s="9">
        <v>11168.810000000001</v>
      </c>
      <c r="AC11" s="8"/>
      <c r="AE11" s="9">
        <v>10533.65</v>
      </c>
      <c r="AF11" s="8"/>
      <c r="AH11" s="6">
        <v>6086.88</v>
      </c>
      <c r="AI11" s="8"/>
      <c r="AJ11" s="7"/>
      <c r="AK11" s="6">
        <v>635.5</v>
      </c>
      <c r="AL11" s="8"/>
    </row>
    <row r="12" spans="1:38" ht="13.5" thickBot="1" x14ac:dyDescent="0.25">
      <c r="E12" s="177">
        <f>+D11+D10</f>
        <v>6658.1699999999928</v>
      </c>
      <c r="H12" s="170">
        <v>18096.859999999993</v>
      </c>
      <c r="K12" s="16">
        <f>+J11+J10</f>
        <v>22556.85999999999</v>
      </c>
      <c r="N12" s="16">
        <v>23235.189999999995</v>
      </c>
      <c r="Q12" s="16">
        <f>+P11+P10</f>
        <v>20011.219999999994</v>
      </c>
      <c r="T12" s="16">
        <f>+S11+S10</f>
        <v>21600.399999999994</v>
      </c>
      <c r="W12" s="16">
        <f>+V11+V10</f>
        <v>18794.259999999995</v>
      </c>
      <c r="Z12" s="16">
        <v>18723.849999999999</v>
      </c>
      <c r="AC12" s="16">
        <v>11230.880000000001</v>
      </c>
      <c r="AF12" s="16">
        <v>10602.85</v>
      </c>
      <c r="AH12" s="5"/>
      <c r="AI12" s="16">
        <v>6086.88</v>
      </c>
      <c r="AJ12" s="7"/>
      <c r="AK12" s="5"/>
      <c r="AL12" s="16">
        <v>635.5</v>
      </c>
    </row>
    <row r="13" spans="1:38" s="20" customFormat="1" ht="19.5" customHeight="1" x14ac:dyDescent="0.2">
      <c r="A13" s="1"/>
      <c r="C13" s="107" t="s">
        <v>55</v>
      </c>
      <c r="D13" s="165"/>
      <c r="E13" s="178">
        <f>+E12</f>
        <v>6658.1699999999928</v>
      </c>
      <c r="F13" s="107"/>
      <c r="G13" s="165"/>
      <c r="H13" s="171">
        <v>18096.859999999993</v>
      </c>
      <c r="I13" s="107"/>
      <c r="J13" s="165"/>
      <c r="K13" s="18">
        <f>+K12+K7</f>
        <v>22556.85999999999</v>
      </c>
      <c r="L13" s="107"/>
      <c r="M13" s="165"/>
      <c r="N13" s="18">
        <v>23235.189999999995</v>
      </c>
      <c r="O13" s="107"/>
      <c r="P13" s="165"/>
      <c r="Q13" s="18">
        <f>+Q12+Q7</f>
        <v>20011.219999999994</v>
      </c>
      <c r="R13" s="107"/>
      <c r="S13" s="165"/>
      <c r="T13" s="18">
        <f>+T12+T7</f>
        <v>21600.399999999994</v>
      </c>
      <c r="U13" s="107"/>
      <c r="V13" s="165"/>
      <c r="W13" s="18">
        <f>+W12+W7</f>
        <v>18794.259999999995</v>
      </c>
      <c r="X13" s="107"/>
      <c r="Y13" s="165"/>
      <c r="Z13" s="18">
        <v>18723.849999999999</v>
      </c>
      <c r="AA13" s="107"/>
      <c r="AB13" s="165"/>
      <c r="AC13" s="18">
        <v>11230.880000000001</v>
      </c>
      <c r="AD13" s="107"/>
      <c r="AE13" s="165"/>
      <c r="AF13" s="18">
        <v>10602.85</v>
      </c>
      <c r="AG13" s="107"/>
      <c r="AH13" s="37"/>
      <c r="AI13" s="18">
        <v>6086.88</v>
      </c>
      <c r="AJ13" s="37"/>
      <c r="AK13" s="37"/>
      <c r="AL13" s="18">
        <v>635.5</v>
      </c>
    </row>
    <row r="14" spans="1:38" x14ac:dyDescent="0.2">
      <c r="E14" s="176"/>
      <c r="H14" s="167"/>
      <c r="K14" s="8"/>
      <c r="N14" s="8"/>
      <c r="Q14" s="8"/>
      <c r="T14" s="8"/>
      <c r="W14" s="8"/>
      <c r="Z14" s="8"/>
      <c r="AC14" s="8"/>
      <c r="AF14" s="8"/>
      <c r="AH14" s="5"/>
      <c r="AI14" s="8"/>
      <c r="AJ14" s="7"/>
      <c r="AK14" s="5"/>
      <c r="AL14" s="8"/>
    </row>
    <row r="15" spans="1:38" ht="15.75" x14ac:dyDescent="0.25">
      <c r="A15" s="2" t="s">
        <v>22</v>
      </c>
      <c r="E15" s="176"/>
      <c r="H15" s="167"/>
      <c r="K15" s="8"/>
      <c r="N15" s="8"/>
      <c r="Q15" s="8"/>
      <c r="T15" s="8"/>
      <c r="W15" s="8"/>
      <c r="Z15" s="8"/>
      <c r="AC15" s="8"/>
      <c r="AF15" s="8"/>
      <c r="AH15" s="5"/>
      <c r="AI15" s="8"/>
      <c r="AJ15" s="7"/>
      <c r="AK15" s="5"/>
      <c r="AL15" s="8"/>
    </row>
    <row r="16" spans="1:38" ht="19.5" customHeight="1" x14ac:dyDescent="0.2">
      <c r="A16" s="11" t="s">
        <v>29</v>
      </c>
      <c r="E16" s="176"/>
      <c r="H16" s="167"/>
      <c r="K16" s="8"/>
      <c r="N16" s="8"/>
      <c r="Q16" s="8"/>
      <c r="T16" s="8"/>
      <c r="W16" s="8"/>
      <c r="Z16" s="8"/>
      <c r="AC16" s="8"/>
      <c r="AF16" s="8"/>
      <c r="AH16" s="5"/>
      <c r="AI16" s="8"/>
      <c r="AJ16" s="7"/>
      <c r="AK16" s="5"/>
      <c r="AL16" s="8"/>
    </row>
    <row r="17" spans="1:41" x14ac:dyDescent="0.2">
      <c r="A17" t="s">
        <v>28</v>
      </c>
      <c r="D17" s="4">
        <f>-'kolommenbalans 2020'!E50</f>
        <v>-2801.8299999999981</v>
      </c>
      <c r="E17" s="176"/>
      <c r="G17" s="5">
        <v>15676.860000000002</v>
      </c>
      <c r="H17" s="167"/>
      <c r="J17" s="5">
        <f>-'kolommenbalans 2018'!G46</f>
        <v>4676.8600000000024</v>
      </c>
      <c r="K17" s="8"/>
      <c r="M17" s="5">
        <v>12645.189999999995</v>
      </c>
      <c r="N17" s="8"/>
      <c r="P17" s="5">
        <f>+'balans 2016'!D17</f>
        <v>4230.5700000000015</v>
      </c>
      <c r="Q17" s="8"/>
      <c r="S17" s="5">
        <f>-'balans 2015'!D17</f>
        <v>14848.090000000002</v>
      </c>
      <c r="T17" s="8"/>
      <c r="V17" s="5">
        <f>-'kolommenbalans 2014'!F29</f>
        <v>12794.26</v>
      </c>
      <c r="W17" s="8"/>
      <c r="Y17" s="5">
        <v>11223.85</v>
      </c>
      <c r="Z17" s="8"/>
      <c r="AB17" s="5">
        <v>635.5</v>
      </c>
      <c r="AC17" s="8"/>
      <c r="AE17" s="5">
        <v>635.5</v>
      </c>
      <c r="AF17" s="8"/>
      <c r="AH17" s="5">
        <v>635.5</v>
      </c>
      <c r="AI17" s="8"/>
      <c r="AJ17" s="7"/>
      <c r="AK17" s="5">
        <v>635.5</v>
      </c>
      <c r="AL17" s="8"/>
    </row>
    <row r="18" spans="1:41" x14ac:dyDescent="0.2">
      <c r="A18" s="70" t="s">
        <v>428</v>
      </c>
      <c r="D18" s="193">
        <f>-'kolommenbalans 2020'!F50</f>
        <v>9460</v>
      </c>
      <c r="E18" s="176"/>
      <c r="G18" s="5">
        <v>2420</v>
      </c>
      <c r="H18" s="167"/>
      <c r="J18" s="5">
        <f>-'kolommenbalans 2018'!H46</f>
        <v>17880</v>
      </c>
      <c r="K18" s="8"/>
      <c r="M18" s="5">
        <v>10590</v>
      </c>
      <c r="N18" s="8"/>
      <c r="P18" s="5">
        <f>+'balans 2016'!D18</f>
        <v>15780.65</v>
      </c>
      <c r="Q18" s="8"/>
      <c r="S18" s="5">
        <f>-'balans 2015'!D18</f>
        <v>6752.3099999999995</v>
      </c>
      <c r="T18" s="8"/>
      <c r="V18" s="5">
        <f>-'kolommenbalans 2014'!G29</f>
        <v>6000</v>
      </c>
      <c r="W18" s="8"/>
      <c r="Y18" s="5">
        <v>7500</v>
      </c>
      <c r="Z18" s="8"/>
      <c r="AB18" s="5">
        <v>1460</v>
      </c>
      <c r="AC18" s="8"/>
      <c r="AE18" s="5">
        <v>3130</v>
      </c>
      <c r="AF18" s="8"/>
      <c r="AH18" s="5">
        <v>0</v>
      </c>
      <c r="AI18" s="8"/>
      <c r="AJ18" s="7"/>
      <c r="AK18" s="5">
        <v>0</v>
      </c>
      <c r="AL18" s="8"/>
    </row>
    <row r="19" spans="1:41" ht="13.5" thickBot="1" x14ac:dyDescent="0.25">
      <c r="A19" t="s">
        <v>17</v>
      </c>
      <c r="D19" s="9">
        <v>0</v>
      </c>
      <c r="E19" s="176"/>
      <c r="G19" s="9">
        <v>0</v>
      </c>
      <c r="H19" s="167"/>
      <c r="J19" s="9">
        <v>0</v>
      </c>
      <c r="K19" s="8"/>
      <c r="M19" s="9">
        <v>0</v>
      </c>
      <c r="N19" s="8"/>
      <c r="P19" s="9">
        <v>0</v>
      </c>
      <c r="Q19" s="8"/>
      <c r="S19" s="9">
        <v>0</v>
      </c>
      <c r="T19" s="8"/>
      <c r="V19" s="9">
        <v>0</v>
      </c>
      <c r="W19" s="8"/>
      <c r="Y19" s="9">
        <v>0</v>
      </c>
      <c r="Z19" s="8"/>
      <c r="AB19" s="9">
        <v>7458.3500000000013</v>
      </c>
      <c r="AC19" s="8"/>
      <c r="AE19" s="9">
        <v>-41.450000000000728</v>
      </c>
      <c r="AF19" s="8"/>
      <c r="AH19" s="6">
        <v>2458.5500000000002</v>
      </c>
      <c r="AI19" s="8"/>
      <c r="AJ19" s="7"/>
      <c r="AK19" s="6">
        <v>0</v>
      </c>
      <c r="AL19" s="8"/>
    </row>
    <row r="20" spans="1:41" s="12" customFormat="1" ht="13.5" customHeight="1" x14ac:dyDescent="0.2">
      <c r="D20" s="68"/>
      <c r="E20" s="177">
        <f>+D18+D17</f>
        <v>6658.1700000000019</v>
      </c>
      <c r="G20" s="68"/>
      <c r="H20" s="172">
        <v>18096.86</v>
      </c>
      <c r="J20" s="68"/>
      <c r="K20" s="49">
        <f>+J19+J17+J18</f>
        <v>22556.86</v>
      </c>
      <c r="M20" s="68"/>
      <c r="N20" s="49">
        <v>23235.189999999995</v>
      </c>
      <c r="P20" s="68"/>
      <c r="Q20" s="49">
        <f>+P19+P17+P18</f>
        <v>20011.22</v>
      </c>
      <c r="S20" s="68"/>
      <c r="T20" s="49">
        <f>+S19+S17+S18</f>
        <v>21600.400000000001</v>
      </c>
      <c r="V20" s="68"/>
      <c r="W20" s="49">
        <f>+V19+V17+V18</f>
        <v>18794.260000000002</v>
      </c>
      <c r="Y20" s="68"/>
      <c r="Z20" s="49">
        <v>18723.849999999999</v>
      </c>
      <c r="AB20" s="68"/>
      <c r="AC20" s="49">
        <v>9553.8500000000022</v>
      </c>
      <c r="AE20" s="68"/>
      <c r="AF20" s="49">
        <v>3724.0499999999993</v>
      </c>
      <c r="AH20" s="13"/>
      <c r="AI20" s="49">
        <v>3094.05</v>
      </c>
      <c r="AJ20" s="50"/>
      <c r="AK20" s="50"/>
      <c r="AL20" s="49">
        <v>635.5</v>
      </c>
    </row>
    <row r="21" spans="1:41" x14ac:dyDescent="0.2">
      <c r="E21" s="176"/>
      <c r="H21" s="167"/>
      <c r="K21" s="8"/>
      <c r="N21" s="8"/>
      <c r="Q21" s="8"/>
      <c r="T21" s="8"/>
      <c r="W21" s="8"/>
      <c r="Z21" s="8"/>
      <c r="AC21" s="8"/>
      <c r="AF21" s="8"/>
      <c r="AH21" s="5"/>
      <c r="AI21" s="8"/>
      <c r="AJ21" s="7"/>
      <c r="AK21" s="5"/>
      <c r="AL21" s="8"/>
    </row>
    <row r="22" spans="1:41" s="12" customFormat="1" ht="13.5" thickBot="1" x14ac:dyDescent="0.25">
      <c r="A22" s="11" t="s">
        <v>30</v>
      </c>
      <c r="D22" s="68"/>
      <c r="E22" s="179">
        <v>0</v>
      </c>
      <c r="H22" s="170">
        <v>0</v>
      </c>
      <c r="K22" s="16">
        <v>0</v>
      </c>
      <c r="N22" s="16">
        <v>0</v>
      </c>
      <c r="Q22" s="16">
        <v>0</v>
      </c>
      <c r="T22" s="16">
        <v>0</v>
      </c>
      <c r="W22" s="16">
        <v>0</v>
      </c>
      <c r="Z22" s="16">
        <v>0</v>
      </c>
      <c r="AC22" s="16">
        <v>1677.0299999999997</v>
      </c>
      <c r="AF22" s="16">
        <v>6879</v>
      </c>
      <c r="AH22" s="13"/>
      <c r="AI22" s="51">
        <v>2993.0299999999997</v>
      </c>
      <c r="AJ22" s="36"/>
      <c r="AK22" s="13"/>
      <c r="AL22" s="17">
        <v>0</v>
      </c>
    </row>
    <row r="23" spans="1:41" s="20" customFormat="1" ht="19.5" customHeight="1" x14ac:dyDescent="0.2">
      <c r="C23" s="107" t="s">
        <v>55</v>
      </c>
      <c r="D23" s="165"/>
      <c r="E23" s="178">
        <f>+E13</f>
        <v>6658.1699999999928</v>
      </c>
      <c r="F23" s="107"/>
      <c r="G23" s="165"/>
      <c r="H23" s="171">
        <v>18096.86</v>
      </c>
      <c r="I23" s="107"/>
      <c r="J23" s="165"/>
      <c r="K23" s="18">
        <f>+K20</f>
        <v>22556.86</v>
      </c>
      <c r="L23" s="107"/>
      <c r="M23" s="165"/>
      <c r="N23" s="18">
        <v>23235.189999999995</v>
      </c>
      <c r="O23" s="107"/>
      <c r="P23" s="165"/>
      <c r="Q23" s="18">
        <f>+Q20</f>
        <v>20011.22</v>
      </c>
      <c r="R23" s="107"/>
      <c r="S23" s="165"/>
      <c r="T23" s="18">
        <f>+T20</f>
        <v>21600.400000000001</v>
      </c>
      <c r="U23" s="107"/>
      <c r="V23" s="165"/>
      <c r="W23" s="18">
        <f>+W20+W22</f>
        <v>18794.260000000002</v>
      </c>
      <c r="X23" s="107"/>
      <c r="Y23" s="165"/>
      <c r="Z23" s="18">
        <v>18723.849999999999</v>
      </c>
      <c r="AA23" s="107"/>
      <c r="AB23" s="165"/>
      <c r="AC23" s="18">
        <v>11230.880000000001</v>
      </c>
      <c r="AD23" s="107"/>
      <c r="AE23" s="165"/>
      <c r="AF23" s="18">
        <v>10603.05</v>
      </c>
      <c r="AG23" s="107"/>
      <c r="AH23" s="166"/>
      <c r="AI23" s="18">
        <v>6087.08</v>
      </c>
      <c r="AJ23" s="37"/>
      <c r="AK23" s="166"/>
      <c r="AL23" s="18">
        <v>635.5</v>
      </c>
    </row>
    <row r="24" spans="1:41" ht="19.5" customHeight="1" x14ac:dyDescent="0.2">
      <c r="E24" s="176"/>
      <c r="H24" s="171"/>
      <c r="K24" s="18"/>
      <c r="N24" s="18"/>
      <c r="Q24" s="18"/>
      <c r="T24" s="18"/>
      <c r="W24" s="18"/>
      <c r="Z24" s="18"/>
      <c r="AC24" s="18"/>
      <c r="AF24" s="18"/>
      <c r="AH24" s="5"/>
      <c r="AI24" s="18"/>
      <c r="AJ24" s="37"/>
      <c r="AK24" s="5"/>
      <c r="AL24" s="18"/>
    </row>
    <row r="25" spans="1:41" ht="19.5" customHeight="1" x14ac:dyDescent="0.2">
      <c r="E25" s="176"/>
      <c r="H25" s="171"/>
      <c r="K25" s="18"/>
      <c r="N25" s="18"/>
      <c r="Q25" s="18"/>
      <c r="T25" s="18"/>
      <c r="W25" s="18"/>
      <c r="Z25" s="18"/>
      <c r="AC25" s="18"/>
      <c r="AF25" s="18"/>
      <c r="AH25" s="5"/>
      <c r="AI25" s="18"/>
      <c r="AJ25" s="37"/>
      <c r="AK25" s="5"/>
      <c r="AL25" s="18"/>
    </row>
    <row r="26" spans="1:41" x14ac:dyDescent="0.2">
      <c r="AH26" s="5"/>
      <c r="AI26" s="7"/>
      <c r="AJ26" s="7"/>
      <c r="AK26" s="5"/>
      <c r="AL26" s="7"/>
    </row>
    <row r="27" spans="1:41" x14ac:dyDescent="0.2">
      <c r="H27" s="52"/>
      <c r="K27" s="52"/>
      <c r="N27" s="52"/>
      <c r="Q27" s="52"/>
      <c r="T27" s="52"/>
      <c r="W27" s="52"/>
      <c r="Z27" s="52"/>
      <c r="AC27" s="52"/>
      <c r="AF27" s="52"/>
    </row>
    <row r="28" spans="1:41" x14ac:dyDescent="0.2">
      <c r="A28" t="s">
        <v>31</v>
      </c>
      <c r="C28" s="147" t="s">
        <v>687</v>
      </c>
      <c r="AI28" s="22"/>
      <c r="AJ28" s="22"/>
      <c r="AL28" s="22"/>
    </row>
    <row r="29" spans="1:41" x14ac:dyDescent="0.2">
      <c r="A29" s="70" t="s">
        <v>470</v>
      </c>
      <c r="H29" s="52">
        <f>+H23-H13</f>
        <v>0</v>
      </c>
      <c r="AO29" s="12"/>
    </row>
    <row r="30" spans="1:41" x14ac:dyDescent="0.2">
      <c r="A30" t="s">
        <v>471</v>
      </c>
    </row>
  </sheetData>
  <mergeCells count="24">
    <mergeCell ref="AE4:AF4"/>
    <mergeCell ref="AH4:AI4"/>
    <mergeCell ref="AK4:AL4"/>
    <mergeCell ref="Y3:Z3"/>
    <mergeCell ref="AB3:AC3"/>
    <mergeCell ref="AE3:AF3"/>
    <mergeCell ref="AH3:AI3"/>
    <mergeCell ref="AK3:AL3"/>
    <mergeCell ref="D3:E3"/>
    <mergeCell ref="D4:E4"/>
    <mergeCell ref="V4:W4"/>
    <mergeCell ref="Y4:Z4"/>
    <mergeCell ref="AB4:AC4"/>
    <mergeCell ref="G4:H4"/>
    <mergeCell ref="J4:K4"/>
    <mergeCell ref="M4:N4"/>
    <mergeCell ref="P4:Q4"/>
    <mergeCell ref="S4:T4"/>
    <mergeCell ref="G3:H3"/>
    <mergeCell ref="J3:K3"/>
    <mergeCell ref="M3:N3"/>
    <mergeCell ref="P3:Q3"/>
    <mergeCell ref="S3:T3"/>
    <mergeCell ref="V3:W3"/>
  </mergeCells>
  <pageMargins left="0.75" right="0.5" top="0.98" bottom="0.98" header="0.51" footer="0.51"/>
  <pageSetup paperSize="9" scale="79" orientation="landscape" r:id="rId1"/>
  <headerFooter alignWithMargins="0">
    <oddFooter>&amp;L&amp;F, &amp;A&amp;R&amp;D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C866-CD3D-463A-9868-E5034BDF4214}">
  <sheetPr>
    <pageSetUpPr fitToPage="1"/>
  </sheetPr>
  <dimension ref="A1:AI75"/>
  <sheetViews>
    <sheetView topLeftCell="A45" zoomScale="101" zoomScaleNormal="100" workbookViewId="0">
      <selection activeCell="E75" sqref="E75"/>
    </sheetView>
  </sheetViews>
  <sheetFormatPr defaultColWidth="8.85546875" defaultRowHeight="12.75" x14ac:dyDescent="0.2"/>
  <cols>
    <col min="1" max="1" width="2.42578125" customWidth="1"/>
    <col min="2" max="2" width="6.85546875" customWidth="1"/>
    <col min="3" max="3" width="25.85546875" customWidth="1"/>
    <col min="4" max="4" width="10.140625" style="32" customWidth="1"/>
    <col min="5" max="5" width="10.28515625" style="32" customWidth="1"/>
    <col min="6" max="6" width="2.42578125" customWidth="1"/>
    <col min="7" max="7" width="10.140625" style="32" bestFit="1" customWidth="1"/>
    <col min="8" max="8" width="10.140625" bestFit="1" customWidth="1"/>
    <col min="9" max="9" width="2.42578125" customWidth="1"/>
    <col min="10" max="10" width="10.28515625" style="32" customWidth="1"/>
    <col min="11" max="11" width="10.28515625" bestFit="1" customWidth="1"/>
    <col min="12" max="12" width="2.42578125" customWidth="1"/>
    <col min="13" max="13" width="10.28515625" style="32" customWidth="1"/>
    <col min="14" max="14" width="10.28515625" bestFit="1" customWidth="1"/>
    <col min="15" max="15" width="2.42578125" customWidth="1"/>
    <col min="16" max="16" width="10.28515625" style="32" customWidth="1"/>
    <col min="18" max="18" width="2.42578125" customWidth="1"/>
    <col min="19" max="19" width="10.28515625" style="4" bestFit="1" customWidth="1"/>
    <col min="21" max="21" width="2.42578125" customWidth="1"/>
    <col min="23" max="23" width="10.28515625" bestFit="1" customWidth="1"/>
    <col min="24" max="24" width="2.42578125" customWidth="1"/>
    <col min="27" max="27" width="2.42578125" customWidth="1"/>
    <col min="28" max="28" width="9.140625" style="5" customWidth="1"/>
    <col min="30" max="30" width="2.42578125" customWidth="1"/>
    <col min="32" max="32" width="10.28515625" customWidth="1"/>
    <col min="33" max="33" width="2.42578125" customWidth="1"/>
    <col min="35" max="35" width="10.28515625" customWidth="1"/>
  </cols>
  <sheetData>
    <row r="1" spans="1:35" ht="20.25" x14ac:dyDescent="0.3">
      <c r="A1" s="10" t="s">
        <v>74</v>
      </c>
    </row>
    <row r="3" spans="1:35" x14ac:dyDescent="0.2">
      <c r="D3" s="235" t="s">
        <v>640</v>
      </c>
      <c r="E3" s="236"/>
      <c r="G3" s="249" t="s">
        <v>587</v>
      </c>
      <c r="H3" s="236"/>
      <c r="J3" s="249" t="s">
        <v>513</v>
      </c>
      <c r="K3" s="236"/>
      <c r="L3" s="27"/>
      <c r="M3" s="249" t="s">
        <v>439</v>
      </c>
      <c r="N3" s="236"/>
      <c r="O3" s="27"/>
      <c r="P3" s="249" t="s">
        <v>369</v>
      </c>
      <c r="Q3" s="236"/>
      <c r="R3" s="27"/>
      <c r="S3" s="249" t="s">
        <v>343</v>
      </c>
      <c r="T3" s="236"/>
      <c r="U3" s="27"/>
      <c r="V3" s="249" t="s">
        <v>290</v>
      </c>
      <c r="W3" s="236"/>
      <c r="X3" s="27"/>
      <c r="Y3" s="249" t="s">
        <v>244</v>
      </c>
      <c r="Z3" s="236"/>
      <c r="AA3" s="27"/>
      <c r="AB3" s="249" t="s">
        <v>230</v>
      </c>
      <c r="AC3" s="236"/>
      <c r="AE3" s="250" t="s">
        <v>368</v>
      </c>
      <c r="AF3" s="236"/>
      <c r="AH3" s="251" t="s">
        <v>75</v>
      </c>
      <c r="AI3" s="236"/>
    </row>
    <row r="4" spans="1:35" x14ac:dyDescent="0.2">
      <c r="D4" s="232" t="s">
        <v>73</v>
      </c>
      <c r="E4" s="231"/>
      <c r="G4" s="232" t="s">
        <v>73</v>
      </c>
      <c r="H4" s="231"/>
      <c r="J4" s="232" t="s">
        <v>73</v>
      </c>
      <c r="K4" s="231"/>
      <c r="L4" s="28"/>
      <c r="M4" s="232" t="s">
        <v>73</v>
      </c>
      <c r="N4" s="231"/>
      <c r="O4" s="28"/>
      <c r="P4" s="232" t="s">
        <v>73</v>
      </c>
      <c r="Q4" s="231"/>
      <c r="R4" s="28"/>
      <c r="S4" s="232" t="s">
        <v>73</v>
      </c>
      <c r="T4" s="231"/>
      <c r="U4" s="28"/>
      <c r="V4" s="232" t="s">
        <v>73</v>
      </c>
      <c r="W4" s="231"/>
      <c r="X4" s="28"/>
      <c r="Y4" s="232" t="s">
        <v>73</v>
      </c>
      <c r="Z4" s="231"/>
      <c r="AA4" s="28"/>
      <c r="AB4" s="232" t="s">
        <v>73</v>
      </c>
      <c r="AC4" s="231"/>
      <c r="AE4" s="232" t="s">
        <v>73</v>
      </c>
      <c r="AF4" s="231"/>
      <c r="AH4" s="232" t="s">
        <v>73</v>
      </c>
      <c r="AI4" s="231"/>
    </row>
    <row r="5" spans="1:35" ht="15.75" x14ac:dyDescent="0.25">
      <c r="A5" s="2" t="s">
        <v>0</v>
      </c>
      <c r="D5" s="44"/>
      <c r="E5" s="180"/>
      <c r="G5" s="44"/>
      <c r="H5" s="8"/>
      <c r="J5" s="44"/>
      <c r="K5" s="8"/>
      <c r="L5" s="7"/>
      <c r="M5" s="44"/>
      <c r="N5" s="8"/>
      <c r="O5" s="7"/>
      <c r="P5" s="44"/>
      <c r="Q5" s="8"/>
      <c r="R5" s="7"/>
      <c r="S5" s="44"/>
      <c r="T5" s="8"/>
      <c r="U5" s="7"/>
      <c r="V5" s="5"/>
      <c r="W5" s="8"/>
      <c r="X5" s="7"/>
      <c r="Y5" s="5"/>
      <c r="Z5" s="8"/>
      <c r="AA5" s="7"/>
      <c r="AC5" s="8"/>
      <c r="AE5" s="5"/>
      <c r="AF5" s="8"/>
      <c r="AH5" s="5"/>
      <c r="AI5" s="8"/>
    </row>
    <row r="6" spans="1:35" x14ac:dyDescent="0.2">
      <c r="A6" t="s">
        <v>11</v>
      </c>
      <c r="D6" s="32">
        <f>+'kolommenbalans 2020'!H48</f>
        <v>7500</v>
      </c>
      <c r="E6" s="180"/>
      <c r="G6" s="32">
        <f>+'winst en verlies 2019'!D6</f>
        <v>30965.32</v>
      </c>
      <c r="H6" s="8"/>
      <c r="J6" s="32">
        <f>'kolommenbalans 2018'!K44</f>
        <v>19796.57</v>
      </c>
      <c r="K6" s="8"/>
      <c r="L6" s="7"/>
      <c r="M6" s="32">
        <v>20251.940000000002</v>
      </c>
      <c r="N6" s="8"/>
      <c r="O6" s="7"/>
      <c r="P6" s="32">
        <v>18100</v>
      </c>
      <c r="Q6" s="8"/>
      <c r="R6" s="7"/>
      <c r="S6" s="32">
        <v>21500</v>
      </c>
      <c r="T6" s="8"/>
      <c r="U6" s="7"/>
      <c r="V6" s="4">
        <v>7500</v>
      </c>
      <c r="W6" s="8"/>
      <c r="X6" s="7"/>
      <c r="Z6" s="8"/>
      <c r="AA6" s="7"/>
      <c r="AB6"/>
      <c r="AC6" s="8"/>
      <c r="AE6" s="5">
        <v>7500</v>
      </c>
      <c r="AF6" s="8"/>
      <c r="AI6" s="8"/>
    </row>
    <row r="7" spans="1:35" x14ac:dyDescent="0.2">
      <c r="A7" t="s">
        <v>1</v>
      </c>
      <c r="D7" s="32">
        <v>0</v>
      </c>
      <c r="E7" s="180"/>
      <c r="G7" s="32">
        <v>0</v>
      </c>
      <c r="H7" s="8"/>
      <c r="J7" s="32">
        <v>0</v>
      </c>
      <c r="K7" s="8"/>
      <c r="L7" s="7"/>
      <c r="M7" s="32">
        <v>0</v>
      </c>
      <c r="N7" s="8"/>
      <c r="O7" s="7"/>
      <c r="P7" s="32">
        <f>+'winst en verlies 2016'!G7</f>
        <v>0</v>
      </c>
      <c r="Q7" s="8"/>
      <c r="R7" s="7"/>
      <c r="S7" s="32">
        <v>0</v>
      </c>
      <c r="T7" s="8"/>
      <c r="U7" s="7"/>
      <c r="V7" s="5">
        <v>0</v>
      </c>
      <c r="W7" s="8"/>
      <c r="X7" s="7"/>
      <c r="Y7" s="5">
        <v>0</v>
      </c>
      <c r="Z7" s="8"/>
      <c r="AA7" s="7"/>
      <c r="AB7" s="5">
        <v>0</v>
      </c>
      <c r="AC7" s="8"/>
      <c r="AE7" s="5">
        <v>0</v>
      </c>
      <c r="AF7" s="8"/>
      <c r="AH7" s="5">
        <v>0</v>
      </c>
      <c r="AI7" s="8"/>
    </row>
    <row r="8" spans="1:35" x14ac:dyDescent="0.2">
      <c r="A8" t="s">
        <v>2</v>
      </c>
      <c r="D8" s="32">
        <v>0</v>
      </c>
      <c r="E8" s="180"/>
      <c r="G8" s="32">
        <v>0</v>
      </c>
      <c r="H8" s="8"/>
      <c r="J8" s="32">
        <v>0</v>
      </c>
      <c r="K8" s="8"/>
      <c r="L8" s="7"/>
      <c r="M8" s="32">
        <v>0</v>
      </c>
      <c r="N8" s="8"/>
      <c r="O8" s="7"/>
      <c r="P8" s="32">
        <f>+'winst en verlies 2016'!G8</f>
        <v>0</v>
      </c>
      <c r="Q8" s="8"/>
      <c r="R8" s="7"/>
      <c r="S8" s="32">
        <v>0</v>
      </c>
      <c r="T8" s="8"/>
      <c r="U8" s="7"/>
      <c r="V8" s="5">
        <v>0</v>
      </c>
      <c r="W8" s="8"/>
      <c r="X8" s="7"/>
      <c r="Y8" s="5">
        <v>7500</v>
      </c>
      <c r="Z8" s="8"/>
      <c r="AA8" s="7"/>
      <c r="AB8" s="5">
        <v>7500</v>
      </c>
      <c r="AC8" s="8"/>
      <c r="AE8" s="5"/>
      <c r="AF8" s="8"/>
      <c r="AH8" s="5">
        <v>7500</v>
      </c>
      <c r="AI8" s="8"/>
    </row>
    <row r="9" spans="1:35" x14ac:dyDescent="0.2">
      <c r="A9" s="70" t="s">
        <v>432</v>
      </c>
      <c r="D9" s="32">
        <f>+'kolommenbalans 2020'!D42</f>
        <v>168.92999999999998</v>
      </c>
      <c r="E9" s="180"/>
      <c r="G9" s="32">
        <f>+'winst en verlies 2019'!D9</f>
        <v>253.60000000000002</v>
      </c>
      <c r="H9" s="8"/>
      <c r="J9" s="32">
        <f>-'kolommenbalans 2018'!N38</f>
        <v>119.92</v>
      </c>
      <c r="K9" s="8"/>
      <c r="L9" s="7"/>
      <c r="M9" s="32">
        <v>173.56</v>
      </c>
      <c r="N9" s="8"/>
      <c r="O9" s="7"/>
      <c r="P9" s="32">
        <v>334.54</v>
      </c>
      <c r="Q9" s="8"/>
      <c r="R9" s="7"/>
      <c r="S9" s="32"/>
      <c r="T9" s="8"/>
      <c r="U9" s="7"/>
      <c r="V9" s="5"/>
      <c r="W9" s="8"/>
      <c r="X9" s="7"/>
      <c r="Y9" s="5"/>
      <c r="Z9" s="8"/>
      <c r="AA9" s="7"/>
      <c r="AC9" s="8"/>
      <c r="AE9" s="5"/>
      <c r="AF9" s="8"/>
      <c r="AH9" s="5"/>
      <c r="AI9" s="8"/>
    </row>
    <row r="10" spans="1:35" ht="13.5" thickBot="1" x14ac:dyDescent="0.25">
      <c r="A10" s="70" t="s">
        <v>431</v>
      </c>
      <c r="D10" s="103">
        <f>'kolommenbalans 2018'!F44</f>
        <v>0</v>
      </c>
      <c r="E10" s="180"/>
      <c r="G10" s="103">
        <f>'kolommenbalans 2018'!I44</f>
        <v>0</v>
      </c>
      <c r="H10" s="8"/>
      <c r="J10" s="103">
        <f>'kolommenbalans 2018'!L44</f>
        <v>3.67</v>
      </c>
      <c r="K10" s="8"/>
      <c r="L10" s="7"/>
      <c r="M10" s="103">
        <v>14.62</v>
      </c>
      <c r="N10" s="8"/>
      <c r="O10" s="7"/>
      <c r="P10" s="103">
        <v>32.479999999999997</v>
      </c>
      <c r="Q10" s="8"/>
      <c r="R10" s="7"/>
      <c r="S10" s="103">
        <v>217.11</v>
      </c>
      <c r="T10" s="8"/>
      <c r="U10" s="7"/>
      <c r="V10" s="6">
        <v>183</v>
      </c>
      <c r="W10" s="8"/>
      <c r="X10" s="7"/>
      <c r="Y10" s="6">
        <v>112</v>
      </c>
      <c r="Z10" s="8"/>
      <c r="AA10" s="7"/>
      <c r="AB10" s="6">
        <v>62</v>
      </c>
      <c r="AC10" s="8"/>
      <c r="AE10" s="6">
        <v>100</v>
      </c>
      <c r="AF10" s="8"/>
      <c r="AH10" s="6">
        <v>86.56</v>
      </c>
      <c r="AI10" s="8"/>
    </row>
    <row r="11" spans="1:35" ht="19.5" customHeight="1" x14ac:dyDescent="0.2">
      <c r="A11" s="3" t="s">
        <v>3</v>
      </c>
      <c r="D11" s="86"/>
      <c r="E11" s="180">
        <f>SUM(D6:D10)</f>
        <v>7668.93</v>
      </c>
      <c r="G11" s="86"/>
      <c r="H11" s="8">
        <f>SUM(G6:G10)</f>
        <v>31218.92</v>
      </c>
      <c r="J11" s="86"/>
      <c r="K11" s="8">
        <f>SUM(J6:J10)</f>
        <v>19920.159999999996</v>
      </c>
      <c r="L11" s="7"/>
      <c r="M11" s="86"/>
      <c r="N11" s="8">
        <v>20440.120000000003</v>
      </c>
      <c r="O11" s="7"/>
      <c r="P11" s="86"/>
      <c r="Q11" s="8">
        <f>SUM(P6:P10)</f>
        <v>18467.02</v>
      </c>
      <c r="R11" s="7"/>
      <c r="S11" s="86"/>
      <c r="T11" s="8">
        <v>21717.11</v>
      </c>
      <c r="U11" s="7"/>
      <c r="V11" s="7"/>
      <c r="W11" s="8">
        <f>SUM(V6:V10)</f>
        <v>7683</v>
      </c>
      <c r="X11" s="7"/>
      <c r="Y11" s="7"/>
      <c r="Z11" s="8">
        <f>SUM(Y7:Y10)</f>
        <v>7612</v>
      </c>
      <c r="AA11" s="7"/>
      <c r="AB11" s="7"/>
      <c r="AC11" s="8">
        <f>SUM(AB7:AB10)</f>
        <v>7562</v>
      </c>
      <c r="AE11" s="7"/>
      <c r="AF11" s="8">
        <f>SUM(AE6:AE10)</f>
        <v>7600</v>
      </c>
      <c r="AH11" s="7"/>
      <c r="AI11" s="8">
        <v>7586.56</v>
      </c>
    </row>
    <row r="12" spans="1:35" x14ac:dyDescent="0.2">
      <c r="D12" s="44"/>
      <c r="E12" s="180"/>
      <c r="G12" s="44"/>
      <c r="H12" s="8"/>
      <c r="J12" s="44"/>
      <c r="K12" s="8"/>
      <c r="L12" s="7"/>
      <c r="M12" s="44"/>
      <c r="N12" s="8"/>
      <c r="O12" s="7"/>
      <c r="P12" s="44"/>
      <c r="Q12" s="8"/>
      <c r="R12" s="7"/>
      <c r="S12" s="44"/>
      <c r="T12" s="8"/>
      <c r="U12" s="7"/>
      <c r="V12" s="5"/>
      <c r="W12" s="8"/>
      <c r="X12" s="7"/>
      <c r="Y12" s="5"/>
      <c r="Z12" s="8"/>
      <c r="AA12" s="7"/>
      <c r="AC12" s="8"/>
      <c r="AE12" s="5"/>
      <c r="AF12" s="8"/>
      <c r="AH12" s="5"/>
      <c r="AI12" s="8"/>
    </row>
    <row r="13" spans="1:35" x14ac:dyDescent="0.2">
      <c r="A13" t="s">
        <v>4</v>
      </c>
      <c r="D13" s="44">
        <v>0</v>
      </c>
      <c r="E13" s="180"/>
      <c r="G13" s="44">
        <v>0</v>
      </c>
      <c r="H13" s="8"/>
      <c r="J13" s="44">
        <v>0</v>
      </c>
      <c r="K13" s="8"/>
      <c r="L13" s="7"/>
      <c r="M13" s="44">
        <v>0</v>
      </c>
      <c r="N13" s="8"/>
      <c r="O13" s="7"/>
      <c r="P13" s="44">
        <v>0</v>
      </c>
      <c r="Q13" s="8"/>
      <c r="R13" s="7"/>
      <c r="S13" s="44">
        <v>0</v>
      </c>
      <c r="T13" s="8"/>
      <c r="U13" s="7"/>
      <c r="V13" s="5">
        <v>0</v>
      </c>
      <c r="W13" s="8"/>
      <c r="X13" s="7"/>
      <c r="Y13" s="5">
        <v>0</v>
      </c>
      <c r="Z13" s="8"/>
      <c r="AA13" s="7"/>
      <c r="AB13" s="5">
        <v>0</v>
      </c>
      <c r="AC13" s="8"/>
      <c r="AE13" s="5">
        <v>0</v>
      </c>
      <c r="AF13" s="8"/>
      <c r="AH13" s="5">
        <v>0</v>
      </c>
      <c r="AI13" s="8"/>
    </row>
    <row r="14" spans="1:35" ht="13.5" thickBot="1" x14ac:dyDescent="0.25">
      <c r="A14" t="s">
        <v>5</v>
      </c>
      <c r="D14" s="85">
        <v>0</v>
      </c>
      <c r="E14" s="180"/>
      <c r="G14" s="85">
        <v>0</v>
      </c>
      <c r="H14" s="8"/>
      <c r="J14" s="85">
        <v>0</v>
      </c>
      <c r="K14" s="8"/>
      <c r="L14" s="7"/>
      <c r="M14" s="85">
        <v>0</v>
      </c>
      <c r="N14" s="8"/>
      <c r="O14" s="7"/>
      <c r="P14" s="85">
        <v>0</v>
      </c>
      <c r="Q14" s="8"/>
      <c r="R14" s="7"/>
      <c r="S14" s="85">
        <v>0</v>
      </c>
      <c r="T14" s="8"/>
      <c r="U14" s="7"/>
      <c r="V14" s="6">
        <v>0</v>
      </c>
      <c r="W14" s="8"/>
      <c r="X14" s="7"/>
      <c r="Y14" s="6">
        <v>0</v>
      </c>
      <c r="Z14" s="8"/>
      <c r="AA14" s="7"/>
      <c r="AB14" s="6">
        <v>0</v>
      </c>
      <c r="AC14" s="8"/>
      <c r="AE14" s="6">
        <v>0</v>
      </c>
      <c r="AF14" s="8"/>
      <c r="AH14" s="6">
        <v>0</v>
      </c>
      <c r="AI14" s="8"/>
    </row>
    <row r="15" spans="1:35" ht="19.5" customHeight="1" x14ac:dyDescent="0.2">
      <c r="A15" s="3" t="s">
        <v>6</v>
      </c>
      <c r="D15" s="86"/>
      <c r="E15" s="180">
        <f>-SUM(D13:D14)</f>
        <v>0</v>
      </c>
      <c r="G15" s="86"/>
      <c r="H15" s="8">
        <f>-SUM(G13:G14)</f>
        <v>0</v>
      </c>
      <c r="J15" s="86"/>
      <c r="K15" s="8">
        <f>-SUM(J13:J14)</f>
        <v>0</v>
      </c>
      <c r="L15" s="7"/>
      <c r="M15" s="86"/>
      <c r="N15" s="8">
        <v>0</v>
      </c>
      <c r="O15" s="7"/>
      <c r="P15" s="86"/>
      <c r="Q15" s="8">
        <f>-SUM(P13:P14)</f>
        <v>0</v>
      </c>
      <c r="R15" s="7"/>
      <c r="S15" s="86"/>
      <c r="T15" s="8">
        <v>0</v>
      </c>
      <c r="U15" s="7"/>
      <c r="V15" s="7"/>
      <c r="W15" s="8">
        <f>-SUM(V13:V14)</f>
        <v>0</v>
      </c>
      <c r="X15" s="7"/>
      <c r="Y15" s="7"/>
      <c r="Z15" s="8">
        <f>-SUM(Y13:Y14)</f>
        <v>0</v>
      </c>
      <c r="AA15" s="7"/>
      <c r="AB15" s="7"/>
      <c r="AC15" s="8">
        <f>-SUM(AB13:AB14)</f>
        <v>0</v>
      </c>
      <c r="AE15" s="7"/>
      <c r="AF15" s="8">
        <f>-SUM(AE13:AE14)</f>
        <v>0</v>
      </c>
      <c r="AH15" s="7"/>
      <c r="AI15" s="8">
        <v>0</v>
      </c>
    </row>
    <row r="16" spans="1:35" ht="13.5" thickBot="1" x14ac:dyDescent="0.25">
      <c r="A16" t="s">
        <v>14</v>
      </c>
      <c r="D16" s="44"/>
      <c r="E16" s="181">
        <f>+E15/E11</f>
        <v>0</v>
      </c>
      <c r="G16" s="44"/>
      <c r="H16" s="19">
        <f>+H15/H11</f>
        <v>0</v>
      </c>
      <c r="J16" s="44"/>
      <c r="K16" s="19">
        <f>+K15/K11</f>
        <v>0</v>
      </c>
      <c r="L16" s="26"/>
      <c r="M16" s="44"/>
      <c r="N16" s="19">
        <v>0</v>
      </c>
      <c r="O16" s="26"/>
      <c r="P16" s="44"/>
      <c r="Q16" s="19">
        <f>+Q15/Q11</f>
        <v>0</v>
      </c>
      <c r="R16" s="26"/>
      <c r="S16" s="44"/>
      <c r="T16" s="19">
        <v>0</v>
      </c>
      <c r="U16" s="26"/>
      <c r="V16" s="5"/>
      <c r="W16" s="19">
        <f>+W15/W11</f>
        <v>0</v>
      </c>
      <c r="X16" s="26"/>
      <c r="Y16" s="5"/>
      <c r="Z16" s="19">
        <f>+Z15/Z11</f>
        <v>0</v>
      </c>
      <c r="AA16" s="26"/>
      <c r="AC16" s="19">
        <f>+AC15/AC11</f>
        <v>0</v>
      </c>
      <c r="AE16" s="5"/>
      <c r="AF16" s="19">
        <f>+AF15/AF11</f>
        <v>0</v>
      </c>
      <c r="AH16" s="5"/>
      <c r="AI16" s="19">
        <v>0</v>
      </c>
    </row>
    <row r="17" spans="1:35" ht="19.5" customHeight="1" x14ac:dyDescent="0.2">
      <c r="A17" s="3" t="s">
        <v>8</v>
      </c>
      <c r="D17" s="86"/>
      <c r="E17" s="180">
        <f>+E11+E15</f>
        <v>7668.93</v>
      </c>
      <c r="G17" s="86"/>
      <c r="H17" s="8">
        <f>+H11+H15</f>
        <v>31218.92</v>
      </c>
      <c r="J17" s="86"/>
      <c r="K17" s="8">
        <f>+K11+K15</f>
        <v>19920.159999999996</v>
      </c>
      <c r="L17" s="7"/>
      <c r="M17" s="86"/>
      <c r="N17" s="8">
        <v>20440.120000000003</v>
      </c>
      <c r="O17" s="7"/>
      <c r="P17" s="86"/>
      <c r="Q17" s="8">
        <f>+Q11+Q15</f>
        <v>18467.02</v>
      </c>
      <c r="R17" s="7"/>
      <c r="S17" s="86"/>
      <c r="T17" s="8">
        <v>21717.11</v>
      </c>
      <c r="U17" s="7"/>
      <c r="V17" s="7"/>
      <c r="W17" s="8">
        <f>+W11+W15</f>
        <v>7683</v>
      </c>
      <c r="X17" s="7"/>
      <c r="Y17" s="7"/>
      <c r="Z17" s="8">
        <f>+Z11+Z15</f>
        <v>7612</v>
      </c>
      <c r="AA17" s="7"/>
      <c r="AB17" s="7"/>
      <c r="AC17" s="8">
        <f>+AC11+AC15</f>
        <v>7562</v>
      </c>
      <c r="AE17" s="7"/>
      <c r="AF17" s="8">
        <f>+AF11+AF15</f>
        <v>7600</v>
      </c>
      <c r="AH17" s="7"/>
      <c r="AI17" s="8">
        <v>7586.56</v>
      </c>
    </row>
    <row r="18" spans="1:35" ht="13.5" thickBot="1" x14ac:dyDescent="0.25">
      <c r="A18" t="s">
        <v>7</v>
      </c>
      <c r="D18" s="44"/>
      <c r="E18" s="181">
        <v>0</v>
      </c>
      <c r="G18" s="44"/>
      <c r="H18" s="16">
        <v>0</v>
      </c>
      <c r="J18" s="44"/>
      <c r="K18" s="16">
        <v>0</v>
      </c>
      <c r="L18" s="7"/>
      <c r="M18" s="44"/>
      <c r="N18" s="16">
        <v>0</v>
      </c>
      <c r="O18" s="7"/>
      <c r="P18" s="44"/>
      <c r="Q18" s="16">
        <v>0</v>
      </c>
      <c r="R18" s="7"/>
      <c r="S18" s="44"/>
      <c r="T18" s="16">
        <v>0</v>
      </c>
      <c r="U18" s="7"/>
      <c r="V18" s="5"/>
      <c r="W18" s="16">
        <v>0</v>
      </c>
      <c r="X18" s="7"/>
      <c r="Y18" s="5"/>
      <c r="Z18" s="16">
        <v>0</v>
      </c>
      <c r="AA18" s="7"/>
      <c r="AC18" s="16">
        <v>0</v>
      </c>
      <c r="AE18" s="5"/>
      <c r="AF18" s="16">
        <v>0</v>
      </c>
      <c r="AH18" s="5"/>
      <c r="AI18" s="16">
        <v>0</v>
      </c>
    </row>
    <row r="19" spans="1:35" ht="19.5" customHeight="1" x14ac:dyDescent="0.2">
      <c r="A19" s="3" t="s">
        <v>9</v>
      </c>
      <c r="D19" s="86"/>
      <c r="E19" s="180">
        <f>+E18+E17</f>
        <v>7668.93</v>
      </c>
      <c r="G19" s="86"/>
      <c r="H19" s="8">
        <f>+H18+H17</f>
        <v>31218.92</v>
      </c>
      <c r="J19" s="86"/>
      <c r="K19" s="8">
        <f>+K18+K17</f>
        <v>19920.159999999996</v>
      </c>
      <c r="L19" s="7"/>
      <c r="M19" s="86"/>
      <c r="N19" s="8">
        <v>20440.120000000003</v>
      </c>
      <c r="O19" s="7"/>
      <c r="P19" s="86"/>
      <c r="Q19" s="8">
        <f>+Q18+Q17</f>
        <v>18467.02</v>
      </c>
      <c r="R19" s="7"/>
      <c r="S19" s="86"/>
      <c r="T19" s="8">
        <v>21717.11</v>
      </c>
      <c r="U19" s="7"/>
      <c r="V19" s="7"/>
      <c r="W19" s="8">
        <f>+W18+W17</f>
        <v>7683</v>
      </c>
      <c r="X19" s="7"/>
      <c r="Y19" s="7"/>
      <c r="Z19" s="8">
        <f>+Z18+Z17</f>
        <v>7612</v>
      </c>
      <c r="AA19" s="7"/>
      <c r="AB19" s="7"/>
      <c r="AC19" s="8">
        <f>+AC18+AC17</f>
        <v>7562</v>
      </c>
      <c r="AE19" s="7"/>
      <c r="AF19" s="8">
        <f>+AF18+AF17</f>
        <v>7600</v>
      </c>
      <c r="AH19" s="7"/>
      <c r="AI19" s="8">
        <v>7586.56</v>
      </c>
    </row>
    <row r="20" spans="1:35" x14ac:dyDescent="0.2">
      <c r="D20" s="44"/>
      <c r="E20" s="180"/>
      <c r="G20" s="44"/>
      <c r="H20" s="8"/>
      <c r="J20" s="44"/>
      <c r="K20" s="8"/>
      <c r="L20" s="7"/>
      <c r="M20" s="44"/>
      <c r="N20" s="8"/>
      <c r="O20" s="7"/>
      <c r="P20" s="44"/>
      <c r="Q20" s="8"/>
      <c r="R20" s="7"/>
      <c r="S20" s="44"/>
      <c r="T20" s="8"/>
      <c r="U20" s="7"/>
      <c r="V20" s="5"/>
      <c r="W20" s="8"/>
      <c r="X20" s="7"/>
      <c r="Y20" s="5"/>
      <c r="Z20" s="8"/>
      <c r="AA20" s="7"/>
      <c r="AC20" s="8"/>
      <c r="AE20" s="5"/>
      <c r="AF20" s="8"/>
      <c r="AH20" s="5"/>
      <c r="AI20" s="8"/>
    </row>
    <row r="21" spans="1:35" ht="15.75" x14ac:dyDescent="0.25">
      <c r="A21" s="2" t="s">
        <v>10</v>
      </c>
      <c r="D21" s="44"/>
      <c r="E21" s="180"/>
      <c r="G21" s="44"/>
      <c r="H21" s="8"/>
      <c r="J21" s="44"/>
      <c r="K21" s="8"/>
      <c r="L21" s="7"/>
      <c r="M21" s="44"/>
      <c r="N21" s="8"/>
      <c r="O21" s="7"/>
      <c r="P21" s="44"/>
      <c r="Q21" s="8"/>
      <c r="R21" s="7"/>
      <c r="S21" s="44"/>
      <c r="T21" s="8"/>
      <c r="U21" s="7"/>
      <c r="V21" s="5"/>
      <c r="W21" s="8"/>
      <c r="X21" s="7"/>
      <c r="Y21" s="5"/>
      <c r="Z21" s="8"/>
      <c r="AA21" s="7"/>
      <c r="AC21" s="8"/>
      <c r="AE21" s="5"/>
      <c r="AF21" s="8"/>
      <c r="AH21" s="5"/>
      <c r="AI21" s="8"/>
    </row>
    <row r="22" spans="1:35" x14ac:dyDescent="0.2">
      <c r="A22" s="70" t="s">
        <v>578</v>
      </c>
      <c r="D22" s="32">
        <f>-'kolommenbalans 2020'!L48</f>
        <v>17500</v>
      </c>
      <c r="E22" s="180"/>
      <c r="G22" s="44">
        <v>0</v>
      </c>
      <c r="H22" s="8"/>
      <c r="J22" s="44">
        <f>+'kolommenbalans 2018'!O35</f>
        <v>12768.57</v>
      </c>
      <c r="K22" s="8"/>
      <c r="L22" s="7"/>
      <c r="M22" s="44">
        <v>14851.94</v>
      </c>
      <c r="N22" s="8"/>
      <c r="O22" s="7"/>
      <c r="P22" s="44">
        <v>32271.66</v>
      </c>
      <c r="Q22" s="8"/>
      <c r="R22" s="7"/>
      <c r="S22" s="44">
        <v>12747.69</v>
      </c>
      <c r="T22" s="8"/>
      <c r="U22" s="7"/>
      <c r="V22" s="5">
        <v>6000</v>
      </c>
      <c r="W22" s="8"/>
      <c r="X22" s="7"/>
      <c r="Y22" s="5">
        <v>0</v>
      </c>
      <c r="Z22" s="8"/>
      <c r="AA22" s="7"/>
      <c r="AB22" s="5">
        <v>0</v>
      </c>
      <c r="AC22" s="8"/>
      <c r="AE22" s="5">
        <v>7500</v>
      </c>
      <c r="AF22" s="8"/>
      <c r="AH22" s="5">
        <v>5053.45</v>
      </c>
      <c r="AI22" s="8"/>
    </row>
    <row r="23" spans="1:35" x14ac:dyDescent="0.2">
      <c r="A23" s="70" t="s">
        <v>580</v>
      </c>
      <c r="D23" s="44">
        <f>+E71</f>
        <v>8500</v>
      </c>
      <c r="E23" s="180"/>
      <c r="G23" s="44">
        <f>+'winst en verlies 2019'!D23</f>
        <v>500</v>
      </c>
      <c r="H23" s="8"/>
      <c r="J23" s="44">
        <f>-'kolommenbalans 2018'!H39</f>
        <v>15000</v>
      </c>
      <c r="K23" s="8"/>
      <c r="L23" s="7"/>
      <c r="M23" s="44"/>
      <c r="N23" s="8"/>
      <c r="O23" s="7"/>
      <c r="P23" s="44"/>
      <c r="Q23" s="8"/>
      <c r="R23" s="7"/>
      <c r="S23" s="44"/>
      <c r="T23" s="8"/>
      <c r="U23" s="7"/>
      <c r="V23" s="5"/>
      <c r="W23" s="8"/>
      <c r="X23" s="7"/>
      <c r="Y23" s="5"/>
      <c r="Z23" s="8"/>
      <c r="AA23" s="7"/>
      <c r="AC23" s="8"/>
      <c r="AE23" s="5"/>
      <c r="AF23" s="8"/>
      <c r="AH23" s="5"/>
      <c r="AI23" s="8"/>
    </row>
    <row r="24" spans="1:35" x14ac:dyDescent="0.2">
      <c r="A24" s="70" t="s">
        <v>579</v>
      </c>
      <c r="D24" s="72"/>
      <c r="E24" s="180"/>
      <c r="G24" s="72">
        <f>+'winst en verlies 2019'!D24</f>
        <v>23465.32</v>
      </c>
      <c r="H24" s="8"/>
      <c r="J24" s="72"/>
      <c r="K24" s="8"/>
      <c r="L24" s="7"/>
      <c r="M24" s="44">
        <v>-3000</v>
      </c>
      <c r="N24" s="8"/>
      <c r="O24" s="7"/>
      <c r="P24" s="44">
        <v>2500</v>
      </c>
      <c r="Q24" s="8"/>
      <c r="R24" s="7"/>
      <c r="S24" s="44">
        <v>5500</v>
      </c>
      <c r="T24" s="8"/>
      <c r="U24" s="7"/>
      <c r="V24" s="5"/>
      <c r="W24" s="8"/>
      <c r="X24" s="7"/>
      <c r="Y24" s="5"/>
      <c r="Z24" s="8"/>
      <c r="AA24" s="7"/>
      <c r="AC24" s="8"/>
      <c r="AE24" s="5"/>
      <c r="AF24" s="8"/>
      <c r="AH24" s="5"/>
      <c r="AI24" s="8"/>
    </row>
    <row r="25" spans="1:35" x14ac:dyDescent="0.2">
      <c r="A25" s="99" t="s">
        <v>421</v>
      </c>
      <c r="D25" s="44"/>
      <c r="E25" s="180"/>
      <c r="G25" s="44">
        <v>0</v>
      </c>
      <c r="H25" s="8"/>
      <c r="J25" s="44">
        <v>0</v>
      </c>
      <c r="K25" s="8"/>
      <c r="L25" s="7"/>
      <c r="M25" s="44">
        <v>0</v>
      </c>
      <c r="N25" s="8"/>
      <c r="O25" s="7"/>
      <c r="P25" s="44">
        <v>1021.66</v>
      </c>
      <c r="Q25" s="8"/>
      <c r="R25" s="7"/>
      <c r="S25" s="44">
        <v>1252.31</v>
      </c>
      <c r="T25" s="8"/>
      <c r="U25" s="7"/>
      <c r="V25" s="5"/>
      <c r="W25" s="8"/>
      <c r="X25" s="7"/>
      <c r="Y25" s="5"/>
      <c r="Z25" s="8"/>
      <c r="AA25" s="7"/>
      <c r="AC25" s="8"/>
      <c r="AE25" s="5"/>
      <c r="AF25" s="8"/>
      <c r="AH25" s="5"/>
      <c r="AI25" s="8"/>
    </row>
    <row r="26" spans="1:35" ht="13.5" thickBot="1" x14ac:dyDescent="0.25">
      <c r="A26" t="s">
        <v>5</v>
      </c>
      <c r="D26" s="85">
        <f>+'kolommenbalans 2020'!D42</f>
        <v>168.92999999999998</v>
      </c>
      <c r="E26" s="180"/>
      <c r="G26" s="85">
        <f>+'winst en verlies 2019'!D26</f>
        <v>253.60000000000002</v>
      </c>
      <c r="H26" s="8"/>
      <c r="J26" s="85">
        <f>+'kolommenbalans concept'!N34</f>
        <v>119.92</v>
      </c>
      <c r="K26" s="8"/>
      <c r="L26" s="7"/>
      <c r="M26" s="85">
        <v>173.56</v>
      </c>
      <c r="N26" s="8"/>
      <c r="O26" s="7"/>
      <c r="P26" s="85">
        <v>334.54</v>
      </c>
      <c r="Q26" s="8"/>
      <c r="R26" s="7"/>
      <c r="S26" s="85">
        <v>163.28</v>
      </c>
      <c r="T26" s="8"/>
      <c r="U26" s="7"/>
      <c r="V26" s="6">
        <v>112</v>
      </c>
      <c r="W26" s="8"/>
      <c r="X26" s="7"/>
      <c r="Y26" s="6">
        <v>100</v>
      </c>
      <c r="Z26" s="8"/>
      <c r="AA26" s="7"/>
      <c r="AB26" s="9" t="s">
        <v>351</v>
      </c>
      <c r="AC26" s="8"/>
      <c r="AE26" s="6">
        <v>100</v>
      </c>
      <c r="AF26" s="8"/>
      <c r="AH26" s="6">
        <v>74.56</v>
      </c>
      <c r="AI26" s="8"/>
    </row>
    <row r="27" spans="1:35" x14ac:dyDescent="0.2">
      <c r="D27" s="44"/>
      <c r="E27" s="180"/>
      <c r="G27" s="44"/>
      <c r="H27" s="8"/>
      <c r="J27" s="44"/>
      <c r="K27" s="8"/>
      <c r="L27" s="7"/>
      <c r="M27" s="44"/>
      <c r="N27" s="8"/>
      <c r="O27" s="7"/>
      <c r="P27" s="44"/>
      <c r="Q27" s="8"/>
      <c r="R27" s="7"/>
      <c r="S27" s="44"/>
      <c r="T27" s="8"/>
      <c r="U27" s="7"/>
      <c r="V27" s="5"/>
      <c r="W27" s="8"/>
      <c r="X27" s="7"/>
      <c r="Y27" s="5"/>
      <c r="Z27" s="8"/>
      <c r="AA27" s="7"/>
      <c r="AC27" s="8"/>
      <c r="AE27" s="5"/>
      <c r="AF27" s="8"/>
      <c r="AH27" s="5"/>
      <c r="AI27" s="8"/>
    </row>
    <row r="28" spans="1:35" ht="19.5" customHeight="1" x14ac:dyDescent="0.2">
      <c r="A28" s="3" t="s">
        <v>13</v>
      </c>
      <c r="D28" s="86"/>
      <c r="E28" s="180">
        <f>SUM(D21:D26)</f>
        <v>26168.93</v>
      </c>
      <c r="G28" s="86"/>
      <c r="H28" s="8">
        <f>SUM(G21:G26)</f>
        <v>24218.92</v>
      </c>
      <c r="J28" s="86"/>
      <c r="K28" s="8">
        <f>SUM(J21:J26)</f>
        <v>27888.489999999998</v>
      </c>
      <c r="L28" s="7"/>
      <c r="M28" s="86"/>
      <c r="N28" s="8">
        <v>12025.5</v>
      </c>
      <c r="O28" s="7"/>
      <c r="P28" s="86"/>
      <c r="Q28" s="8">
        <f>SUM(P21:P26)</f>
        <v>36127.860000000008</v>
      </c>
      <c r="R28" s="7"/>
      <c r="S28" s="86"/>
      <c r="T28" s="8">
        <v>19663.280000000002</v>
      </c>
      <c r="U28" s="7"/>
      <c r="V28" s="7"/>
      <c r="W28" s="8">
        <f>SUM(V21:V26)</f>
        <v>6112</v>
      </c>
      <c r="X28" s="7"/>
      <c r="Y28" s="7"/>
      <c r="Z28" s="8">
        <f>SUM(Y21:Y26)</f>
        <v>100</v>
      </c>
      <c r="AA28" s="7"/>
      <c r="AB28" s="7"/>
      <c r="AC28" s="8">
        <f>SUM(AB21:AB26)</f>
        <v>0</v>
      </c>
      <c r="AE28" s="7"/>
      <c r="AF28" s="8">
        <f>+AE26+AE22</f>
        <v>7600</v>
      </c>
      <c r="AH28" s="7"/>
      <c r="AI28" s="8">
        <v>5128.01</v>
      </c>
    </row>
    <row r="29" spans="1:35" x14ac:dyDescent="0.2">
      <c r="D29" s="44"/>
      <c r="E29" s="180"/>
      <c r="G29" s="44"/>
      <c r="H29" s="8"/>
      <c r="J29" s="44"/>
      <c r="K29" s="8"/>
      <c r="L29" s="7"/>
      <c r="M29" s="44"/>
      <c r="N29" s="8"/>
      <c r="O29" s="7"/>
      <c r="P29" s="44"/>
      <c r="Q29" s="8"/>
      <c r="R29" s="7"/>
      <c r="S29" s="44"/>
      <c r="T29" s="8"/>
      <c r="U29" s="7"/>
      <c r="V29" s="5"/>
      <c r="W29" s="8"/>
      <c r="X29" s="7"/>
      <c r="Y29" s="5"/>
      <c r="Z29" s="8"/>
      <c r="AA29" s="7"/>
      <c r="AC29" s="8"/>
      <c r="AE29" s="5"/>
      <c r="AF29" s="8"/>
      <c r="AH29" s="5"/>
      <c r="AI29" s="8"/>
    </row>
    <row r="30" spans="1:35" ht="19.5" customHeight="1" x14ac:dyDescent="0.2">
      <c r="A30" s="1" t="s">
        <v>15</v>
      </c>
      <c r="D30" s="86"/>
      <c r="E30" s="180">
        <f>+E19-E28</f>
        <v>-18500</v>
      </c>
      <c r="G30" s="86"/>
      <c r="H30" s="8">
        <f>+H19-H28</f>
        <v>7000</v>
      </c>
      <c r="J30" s="86"/>
      <c r="K30" s="8">
        <f>+K19-K28</f>
        <v>-7968.3300000000017</v>
      </c>
      <c r="L30" s="7"/>
      <c r="M30" s="86"/>
      <c r="N30" s="8">
        <v>8414.6200000000026</v>
      </c>
      <c r="O30" s="7"/>
      <c r="P30" s="86"/>
      <c r="Q30" s="8">
        <f>+Q19-Q28</f>
        <v>-17660.840000000007</v>
      </c>
      <c r="R30" s="7"/>
      <c r="S30" s="86"/>
      <c r="T30" s="8">
        <v>2053.8299999999981</v>
      </c>
      <c r="U30" s="7"/>
      <c r="V30" s="7"/>
      <c r="W30" s="8">
        <f>+W19-W28</f>
        <v>1571</v>
      </c>
      <c r="X30" s="7"/>
      <c r="Y30" s="7"/>
      <c r="Z30" s="8">
        <f>+Z19-Z28</f>
        <v>7512</v>
      </c>
      <c r="AA30" s="7"/>
      <c r="AB30" s="7"/>
      <c r="AC30" s="8">
        <f>+AC19-AC28</f>
        <v>7562</v>
      </c>
      <c r="AE30" s="7"/>
      <c r="AF30" s="8">
        <f>+AF19-AF28</f>
        <v>0</v>
      </c>
      <c r="AH30" s="7"/>
      <c r="AI30" s="8">
        <v>2458.5500000000002</v>
      </c>
    </row>
    <row r="31" spans="1:35" x14ac:dyDescent="0.2">
      <c r="D31" s="44"/>
      <c r="E31" s="86"/>
      <c r="G31" s="44"/>
      <c r="H31" s="7"/>
      <c r="J31" s="44"/>
      <c r="K31" s="7"/>
      <c r="L31" s="7"/>
      <c r="M31" s="44"/>
      <c r="N31" s="7"/>
      <c r="O31" s="7"/>
      <c r="P31" s="44"/>
      <c r="Q31" s="7"/>
      <c r="R31" s="7"/>
      <c r="S31" s="44"/>
      <c r="T31" s="7"/>
      <c r="U31" s="7"/>
      <c r="V31" s="5"/>
      <c r="W31" s="7"/>
      <c r="X31" s="7"/>
      <c r="Y31" s="5"/>
      <c r="Z31" s="7"/>
      <c r="AA31" s="7"/>
      <c r="AC31" s="7"/>
      <c r="AE31" s="5"/>
      <c r="AF31" s="7"/>
      <c r="AH31" s="5"/>
      <c r="AI31" s="7"/>
    </row>
    <row r="32" spans="1:35" x14ac:dyDescent="0.2">
      <c r="A32" s="20" t="s">
        <v>16</v>
      </c>
      <c r="D32" s="44"/>
      <c r="E32" s="86"/>
      <c r="G32" s="44"/>
      <c r="H32" s="7"/>
      <c r="J32" s="44"/>
      <c r="K32" s="7"/>
      <c r="L32" s="7"/>
      <c r="M32" s="44"/>
      <c r="N32" s="7"/>
      <c r="O32" s="7"/>
      <c r="P32" s="44"/>
      <c r="Q32" s="7"/>
      <c r="R32" s="7"/>
      <c r="S32" s="44"/>
      <c r="T32" s="7"/>
      <c r="U32" s="7"/>
      <c r="V32" s="5"/>
      <c r="W32" s="7"/>
      <c r="X32" s="7"/>
      <c r="Y32" s="5"/>
      <c r="Z32" s="7"/>
      <c r="AA32" s="7"/>
      <c r="AC32" s="7"/>
      <c r="AE32" s="5"/>
      <c r="AF32" s="7"/>
      <c r="AH32" s="5"/>
      <c r="AI32" s="7"/>
    </row>
    <row r="33" spans="1:35" x14ac:dyDescent="0.2">
      <c r="A33" t="s">
        <v>17</v>
      </c>
      <c r="D33" s="44">
        <v>0</v>
      </c>
      <c r="E33" s="180"/>
      <c r="G33" s="44">
        <v>0</v>
      </c>
      <c r="H33" s="8"/>
      <c r="J33" s="44">
        <v>0</v>
      </c>
      <c r="K33" s="8"/>
      <c r="L33" s="7"/>
      <c r="M33" s="44">
        <v>0</v>
      </c>
      <c r="N33" s="8"/>
      <c r="O33" s="7"/>
      <c r="P33" s="44">
        <v>0</v>
      </c>
      <c r="Q33" s="8"/>
      <c r="R33" s="7"/>
      <c r="S33" s="44">
        <v>0</v>
      </c>
      <c r="T33" s="8"/>
      <c r="U33" s="7"/>
      <c r="V33" s="5">
        <v>0</v>
      </c>
      <c r="W33" s="8"/>
      <c r="X33" s="7"/>
      <c r="Y33" s="5">
        <v>7500</v>
      </c>
      <c r="Z33" s="8"/>
      <c r="AA33" s="7"/>
      <c r="AB33" s="5">
        <v>7500</v>
      </c>
      <c r="AC33" s="8"/>
      <c r="AE33" s="5">
        <v>0</v>
      </c>
      <c r="AF33" s="8"/>
      <c r="AH33" s="5">
        <v>2458.5500000000002</v>
      </c>
      <c r="AI33" s="8"/>
    </row>
    <row r="34" spans="1:35" ht="13.5" thickBot="1" x14ac:dyDescent="0.25">
      <c r="A34" t="s">
        <v>28</v>
      </c>
      <c r="D34" s="85">
        <f>+E30</f>
        <v>-18500</v>
      </c>
      <c r="E34" s="180"/>
      <c r="G34" s="85">
        <f>+H30</f>
        <v>7000</v>
      </c>
      <c r="H34" s="8"/>
      <c r="J34" s="85">
        <f>+K30</f>
        <v>-7968.3300000000017</v>
      </c>
      <c r="K34" s="8"/>
      <c r="L34" s="7"/>
      <c r="M34" s="85">
        <v>8414.6200000000026</v>
      </c>
      <c r="N34" s="8"/>
      <c r="O34" s="7"/>
      <c r="P34" s="85">
        <v>17660.84</v>
      </c>
      <c r="Q34" s="8"/>
      <c r="R34" s="7"/>
      <c r="S34" s="85">
        <v>2053.8299999999981</v>
      </c>
      <c r="T34" s="8"/>
      <c r="U34" s="7"/>
      <c r="V34" s="6">
        <v>1570</v>
      </c>
      <c r="W34" s="8"/>
      <c r="X34" s="7"/>
      <c r="Y34" s="6">
        <v>0</v>
      </c>
      <c r="Z34" s="8"/>
      <c r="AA34" s="7"/>
      <c r="AB34" s="6">
        <v>0</v>
      </c>
      <c r="AC34" s="8"/>
      <c r="AE34" s="6">
        <f>+AF30</f>
        <v>0</v>
      </c>
      <c r="AF34" s="8"/>
      <c r="AH34" s="9">
        <v>0</v>
      </c>
      <c r="AI34" s="8"/>
    </row>
    <row r="35" spans="1:35" ht="19.5" customHeight="1" x14ac:dyDescent="0.2">
      <c r="A35" s="3"/>
      <c r="D35" s="86"/>
      <c r="E35" s="180">
        <f>+D33+D34</f>
        <v>-18500</v>
      </c>
      <c r="G35" s="86"/>
      <c r="H35" s="8">
        <f>+G33+G34</f>
        <v>7000</v>
      </c>
      <c r="J35" s="86"/>
      <c r="K35" s="8">
        <f>+J33+J34</f>
        <v>-7968.3300000000017</v>
      </c>
      <c r="L35" s="7"/>
      <c r="M35" s="86"/>
      <c r="N35" s="8">
        <v>8414.6200000000026</v>
      </c>
      <c r="O35" s="7"/>
      <c r="P35" s="86"/>
      <c r="Q35" s="8">
        <f>+P33+P34</f>
        <v>17660.84</v>
      </c>
      <c r="R35" s="7"/>
      <c r="S35" s="86"/>
      <c r="T35" s="8">
        <v>2053.8299999999981</v>
      </c>
      <c r="U35" s="7"/>
      <c r="V35" s="7"/>
      <c r="W35" s="8">
        <f>+V33+V34</f>
        <v>1570</v>
      </c>
      <c r="X35" s="7"/>
      <c r="Y35" s="7"/>
      <c r="Z35" s="8">
        <f>+Y33+Y34</f>
        <v>7500</v>
      </c>
      <c r="AA35" s="7"/>
      <c r="AB35" s="7"/>
      <c r="AC35" s="8">
        <f>+AB33+AB34</f>
        <v>7500</v>
      </c>
      <c r="AE35" s="7"/>
      <c r="AF35" s="8">
        <f>+AE34+AE33</f>
        <v>0</v>
      </c>
      <c r="AH35" s="7"/>
      <c r="AI35" s="8">
        <v>2458.5500000000002</v>
      </c>
    </row>
    <row r="36" spans="1:35" ht="19.5" customHeight="1" x14ac:dyDescent="0.2">
      <c r="A36" s="3"/>
      <c r="C36" s="47"/>
      <c r="D36" s="86"/>
      <c r="E36" s="180"/>
      <c r="F36" s="47"/>
      <c r="G36" s="86"/>
      <c r="H36" s="8"/>
      <c r="J36" s="86"/>
      <c r="K36" s="8"/>
      <c r="L36" s="7"/>
      <c r="M36" s="86"/>
      <c r="N36" s="8"/>
      <c r="O36" s="7"/>
      <c r="P36" s="86"/>
      <c r="Q36" s="8"/>
      <c r="R36" s="7"/>
      <c r="S36" s="86"/>
      <c r="T36" s="8"/>
      <c r="U36" s="7"/>
      <c r="V36" s="7"/>
      <c r="W36" s="8"/>
      <c r="X36" s="7"/>
      <c r="Y36" s="7"/>
      <c r="Z36" s="8"/>
      <c r="AA36" s="7"/>
      <c r="AB36" s="7"/>
      <c r="AC36" s="8"/>
      <c r="AE36" s="7"/>
      <c r="AF36" s="8"/>
      <c r="AH36" s="7"/>
      <c r="AI36" s="8"/>
    </row>
    <row r="37" spans="1:35" ht="19.5" customHeight="1" x14ac:dyDescent="0.2">
      <c r="A37" s="3"/>
      <c r="C37" s="112"/>
      <c r="F37" s="112"/>
      <c r="H37" s="47"/>
      <c r="L37" s="7"/>
      <c r="O37" s="7"/>
      <c r="R37" s="7"/>
      <c r="U37" s="7"/>
      <c r="X37" s="7"/>
      <c r="AA37" s="7"/>
      <c r="AB37" s="7"/>
      <c r="AC37" s="7"/>
    </row>
    <row r="38" spans="1:35" x14ac:dyDescent="0.2">
      <c r="A38" s="20" t="s">
        <v>43</v>
      </c>
      <c r="Y38" s="114"/>
    </row>
    <row r="39" spans="1:35" x14ac:dyDescent="0.2">
      <c r="A39" t="s">
        <v>47</v>
      </c>
      <c r="G39" s="95"/>
      <c r="J39" s="95"/>
      <c r="M39" s="95"/>
      <c r="P39" s="95"/>
      <c r="S39" s="96"/>
      <c r="W39" s="113"/>
    </row>
    <row r="40" spans="1:35" x14ac:dyDescent="0.2">
      <c r="A40" s="76"/>
      <c r="B40" s="147" t="s">
        <v>675</v>
      </c>
      <c r="C40" s="76"/>
      <c r="D40" s="87"/>
      <c r="E40" s="87"/>
      <c r="F40" s="76"/>
      <c r="G40" s="87"/>
      <c r="H40" s="76"/>
      <c r="I40" s="76"/>
      <c r="J40" s="87"/>
      <c r="K40" s="76"/>
      <c r="L40" s="76"/>
      <c r="M40" s="87"/>
      <c r="N40" s="76"/>
      <c r="O40" s="76"/>
      <c r="P40" s="87"/>
      <c r="Q40" s="76"/>
      <c r="R40" s="76"/>
      <c r="S40" s="88"/>
      <c r="T40" s="76"/>
      <c r="U40" s="76"/>
      <c r="V40" s="76"/>
      <c r="W40" s="113"/>
      <c r="Z40" s="76"/>
      <c r="AA40" s="76"/>
    </row>
    <row r="41" spans="1:35" x14ac:dyDescent="0.2">
      <c r="A41" s="76"/>
      <c r="C41" s="76"/>
      <c r="D41" s="87"/>
      <c r="E41" s="87"/>
      <c r="F41" s="76"/>
      <c r="G41" s="87"/>
      <c r="H41" s="76"/>
      <c r="I41" s="76"/>
      <c r="J41" s="87"/>
      <c r="K41" s="76"/>
      <c r="L41" s="76"/>
      <c r="M41" s="87"/>
      <c r="N41" s="76"/>
      <c r="O41" s="76"/>
      <c r="P41" s="87"/>
      <c r="Q41" s="76"/>
      <c r="R41" s="76"/>
      <c r="S41" s="88"/>
      <c r="T41" s="76"/>
      <c r="U41" s="76"/>
      <c r="V41" s="76"/>
      <c r="W41" s="113"/>
      <c r="Z41" s="76"/>
      <c r="AA41" s="76"/>
    </row>
    <row r="42" spans="1:35" x14ac:dyDescent="0.2">
      <c r="A42" s="70" t="s">
        <v>414</v>
      </c>
      <c r="B42" s="76"/>
      <c r="C42" s="76"/>
      <c r="D42" s="87"/>
      <c r="E42" s="87"/>
      <c r="F42" s="76"/>
      <c r="G42" s="87"/>
      <c r="H42" s="76"/>
      <c r="I42" s="76"/>
      <c r="J42" s="87"/>
      <c r="K42" s="76"/>
      <c r="L42" s="76"/>
      <c r="M42" s="87"/>
      <c r="N42" s="76"/>
      <c r="O42" s="76"/>
      <c r="P42" s="87"/>
      <c r="Q42" s="76"/>
      <c r="R42" s="76"/>
      <c r="S42" s="88"/>
      <c r="T42" s="76"/>
      <c r="U42" s="76"/>
      <c r="V42" s="76"/>
      <c r="W42" s="113"/>
      <c r="Z42" s="76"/>
      <c r="AA42" s="76"/>
    </row>
    <row r="43" spans="1:35" x14ac:dyDescent="0.2">
      <c r="B43" s="70" t="s">
        <v>107</v>
      </c>
      <c r="C43" s="76"/>
      <c r="D43" s="87"/>
      <c r="E43" s="87"/>
      <c r="F43" s="76"/>
      <c r="G43" s="87"/>
      <c r="H43" s="76"/>
      <c r="I43" s="76"/>
      <c r="J43" s="87"/>
      <c r="K43" s="76"/>
      <c r="L43" s="76"/>
      <c r="M43" s="87"/>
      <c r="N43" s="76"/>
      <c r="O43" s="76"/>
      <c r="P43" s="87"/>
      <c r="Q43" s="76"/>
      <c r="R43" s="76"/>
      <c r="S43" s="88"/>
      <c r="T43" s="76"/>
      <c r="U43" s="76"/>
      <c r="V43" s="76"/>
      <c r="W43" s="76"/>
      <c r="X43" s="76"/>
      <c r="Y43" s="114"/>
      <c r="Z43" s="76"/>
      <c r="AA43" s="76"/>
    </row>
    <row r="44" spans="1:35" x14ac:dyDescent="0.2">
      <c r="A44" s="76"/>
      <c r="B44" s="147" t="s">
        <v>676</v>
      </c>
      <c r="C44" s="76"/>
      <c r="D44" s="87"/>
      <c r="E44" s="87"/>
      <c r="F44" s="76"/>
      <c r="G44" s="72">
        <f>-'kolommenbalans 2018'!K38</f>
        <v>0</v>
      </c>
      <c r="H44" s="72">
        <f>+'kolommenbalans 2020'!K39-'kolommenbalans 2020'!K7</f>
        <v>109.10999999999999</v>
      </c>
      <c r="I44" s="76"/>
      <c r="K44" s="76"/>
      <c r="L44" s="76"/>
      <c r="N44" s="76"/>
      <c r="O44" s="76"/>
      <c r="P44" s="87"/>
      <c r="Q44" s="76"/>
      <c r="R44" s="76"/>
      <c r="S44" s="88"/>
      <c r="T44" s="76"/>
      <c r="U44" s="76"/>
      <c r="V44" s="76"/>
      <c r="W44" s="76"/>
      <c r="X44" s="76"/>
      <c r="Y44" s="76"/>
      <c r="Z44" s="76"/>
      <c r="AA44" s="76"/>
    </row>
    <row r="45" spans="1:35" ht="15" x14ac:dyDescent="0.35">
      <c r="A45" s="76"/>
      <c r="B45" s="147" t="s">
        <v>677</v>
      </c>
      <c r="C45" s="76"/>
      <c r="D45" s="87"/>
      <c r="E45" s="87"/>
      <c r="F45" s="76"/>
      <c r="G45" s="72"/>
      <c r="H45" s="45">
        <f>+'overloop 2020'!C6</f>
        <v>59.82</v>
      </c>
      <c r="I45" s="76"/>
      <c r="K45" s="76"/>
      <c r="L45" s="76"/>
      <c r="N45" s="76"/>
      <c r="O45" s="76"/>
      <c r="P45" s="87"/>
      <c r="Q45" s="76"/>
      <c r="R45" s="76"/>
      <c r="S45" s="88"/>
      <c r="T45" s="76"/>
      <c r="U45" s="76"/>
      <c r="V45" s="76"/>
      <c r="W45" s="76"/>
      <c r="X45" s="76"/>
      <c r="Y45" s="76"/>
      <c r="Z45" s="76"/>
      <c r="AA45" s="76"/>
    </row>
    <row r="46" spans="1:35" x14ac:dyDescent="0.2">
      <c r="A46" s="76"/>
      <c r="B46" s="70"/>
      <c r="C46" s="76"/>
      <c r="D46" s="87"/>
      <c r="E46" s="87"/>
      <c r="F46" s="76"/>
      <c r="G46" s="72"/>
      <c r="H46" s="79">
        <f>SUM(H44:H45)</f>
        <v>168.92999999999998</v>
      </c>
      <c r="I46" s="76"/>
      <c r="J46" s="72"/>
      <c r="K46" s="76"/>
      <c r="L46" s="76"/>
      <c r="N46" s="76"/>
      <c r="O46" s="76"/>
      <c r="P46" s="87"/>
      <c r="Q46" s="76"/>
      <c r="R46" s="76"/>
      <c r="S46" s="88"/>
      <c r="T46" s="76"/>
      <c r="U46" s="76"/>
      <c r="V46" s="76"/>
      <c r="W46" s="76"/>
      <c r="X46" s="76"/>
      <c r="Y46" s="76"/>
      <c r="Z46" s="76"/>
      <c r="AA46" s="76"/>
    </row>
    <row r="47" spans="1:35" x14ac:dyDescent="0.2">
      <c r="A47" s="76"/>
      <c r="B47" s="76"/>
      <c r="C47" s="76"/>
      <c r="D47" s="87"/>
      <c r="E47" s="87"/>
      <c r="F47" s="76"/>
      <c r="G47" s="87"/>
      <c r="H47" s="76"/>
      <c r="I47" s="76"/>
      <c r="J47" s="87"/>
      <c r="K47" s="76"/>
      <c r="L47" s="76"/>
      <c r="M47" s="87"/>
      <c r="N47" s="76"/>
      <c r="O47" s="76"/>
      <c r="P47" s="87"/>
      <c r="Q47" s="76"/>
      <c r="R47" s="76"/>
      <c r="S47" s="88"/>
      <c r="T47" s="76"/>
      <c r="U47" s="76"/>
      <c r="V47" s="76"/>
      <c r="W47" s="76"/>
      <c r="X47" s="76"/>
      <c r="Y47" s="76"/>
      <c r="Z47" s="76"/>
      <c r="AA47" s="76"/>
    </row>
    <row r="48" spans="1:35" x14ac:dyDescent="0.2">
      <c r="A48" s="70" t="s">
        <v>46</v>
      </c>
      <c r="B48" s="70"/>
      <c r="C48" s="70"/>
      <c r="D48" s="72"/>
      <c r="E48" s="72"/>
      <c r="F48" s="70"/>
      <c r="G48" s="87"/>
      <c r="H48" s="76"/>
      <c r="I48" s="70"/>
      <c r="J48" s="87"/>
      <c r="K48" s="76"/>
      <c r="L48" s="76"/>
      <c r="M48" s="87"/>
      <c r="N48" s="76"/>
      <c r="O48" s="76"/>
      <c r="P48" s="87"/>
      <c r="Q48" s="76"/>
      <c r="R48" s="76"/>
      <c r="S48" s="88"/>
      <c r="T48" s="76"/>
      <c r="U48" s="76"/>
      <c r="V48" s="76"/>
      <c r="W48" s="76"/>
      <c r="X48" s="76"/>
      <c r="Y48" s="76"/>
      <c r="Z48" s="76"/>
      <c r="AA48" s="76"/>
      <c r="AE48" s="5"/>
      <c r="AH48" s="5"/>
    </row>
    <row r="49" spans="1:35" ht="39.950000000000003" customHeight="1" x14ac:dyDescent="0.2">
      <c r="A49" s="70"/>
      <c r="B49" s="254" t="s">
        <v>694</v>
      </c>
      <c r="C49" s="238"/>
      <c r="D49" s="238"/>
      <c r="E49" s="238"/>
      <c r="F49" s="238"/>
      <c r="G49" s="238"/>
      <c r="H49" s="238"/>
      <c r="I49" s="238"/>
      <c r="J49" s="238"/>
      <c r="K49" s="238"/>
      <c r="L49" s="238"/>
      <c r="M49" s="238"/>
      <c r="N49" s="238"/>
      <c r="O49" s="238"/>
      <c r="P49" s="238"/>
      <c r="Q49" s="238"/>
      <c r="R49" s="138"/>
      <c r="S49" s="138"/>
      <c r="T49" s="138"/>
      <c r="U49" s="138"/>
      <c r="V49" s="138"/>
      <c r="W49" s="138"/>
      <c r="X49" s="138"/>
      <c r="Y49" s="98"/>
      <c r="Z49" s="98"/>
      <c r="AA49" s="76"/>
      <c r="AB49" s="183"/>
      <c r="AE49" s="183"/>
      <c r="AF49" s="184"/>
      <c r="AH49" s="183"/>
      <c r="AI49" s="184"/>
    </row>
    <row r="50" spans="1:35" x14ac:dyDescent="0.2">
      <c r="H50" s="76"/>
      <c r="K50" s="76"/>
      <c r="L50" s="76"/>
      <c r="M50" s="72"/>
      <c r="N50" s="76"/>
      <c r="O50" s="76"/>
      <c r="P50" s="87"/>
      <c r="Q50" s="76"/>
      <c r="R50" s="76"/>
      <c r="S50" s="88"/>
      <c r="T50" s="76"/>
      <c r="U50" s="76"/>
      <c r="V50" s="76"/>
      <c r="W50" s="76"/>
      <c r="X50" s="76"/>
      <c r="Y50" s="76"/>
      <c r="Z50" s="76"/>
      <c r="AA50" s="76"/>
      <c r="AE50" s="5"/>
      <c r="AF50" s="44"/>
      <c r="AH50" s="5"/>
      <c r="AI50" s="44"/>
    </row>
    <row r="51" spans="1:35" x14ac:dyDescent="0.2">
      <c r="A51" s="114" t="s">
        <v>489</v>
      </c>
      <c r="H51" s="76"/>
      <c r="K51" s="76"/>
      <c r="L51" s="76"/>
      <c r="M51" s="72"/>
      <c r="N51" s="76"/>
      <c r="O51" s="76"/>
      <c r="P51" s="87"/>
      <c r="Q51" s="76"/>
      <c r="R51" s="76"/>
      <c r="S51" s="88"/>
      <c r="T51" s="76"/>
      <c r="U51" s="76"/>
      <c r="V51" s="76"/>
      <c r="W51" s="76"/>
      <c r="X51" s="76"/>
      <c r="Y51" s="76"/>
      <c r="Z51" s="76"/>
      <c r="AA51" s="76"/>
      <c r="AE51" s="5"/>
      <c r="AF51" s="44"/>
      <c r="AH51" s="5"/>
      <c r="AI51" s="44"/>
    </row>
    <row r="52" spans="1:35" x14ac:dyDescent="0.2">
      <c r="A52" s="101"/>
      <c r="B52" s="147" t="s">
        <v>678</v>
      </c>
      <c r="E52" s="72">
        <f>-'kolommenbalans 2020'!F5</f>
        <v>2420</v>
      </c>
      <c r="G52" s="72"/>
      <c r="K52" s="76"/>
      <c r="L52" s="76"/>
      <c r="M52" s="72"/>
      <c r="N52" s="76"/>
      <c r="O52" s="76"/>
      <c r="P52" s="87"/>
      <c r="Q52" s="76"/>
      <c r="R52" s="76"/>
      <c r="S52" s="88"/>
      <c r="T52" s="76"/>
      <c r="U52" s="76"/>
      <c r="V52" s="76"/>
      <c r="W52" s="76"/>
      <c r="X52" s="76"/>
      <c r="Y52" s="76"/>
      <c r="Z52" s="76"/>
      <c r="AA52" s="76"/>
      <c r="AE52" s="5"/>
      <c r="AF52" s="44"/>
      <c r="AH52" s="5"/>
      <c r="AI52" s="44"/>
    </row>
    <row r="53" spans="1:35" x14ac:dyDescent="0.2">
      <c r="C53" s="148" t="s">
        <v>642</v>
      </c>
      <c r="E53" s="72">
        <f>-80*12</f>
        <v>-960</v>
      </c>
      <c r="G53" s="72"/>
      <c r="K53" s="76"/>
      <c r="L53" s="76"/>
      <c r="M53" s="72"/>
      <c r="N53" s="76"/>
      <c r="O53" s="76"/>
      <c r="P53" s="87"/>
      <c r="Q53" s="76"/>
      <c r="R53" s="76"/>
      <c r="S53" s="88"/>
      <c r="T53" s="76"/>
      <c r="U53" s="76"/>
      <c r="V53" s="76"/>
      <c r="W53" s="76"/>
      <c r="X53" s="76"/>
      <c r="Y53" s="76"/>
      <c r="Z53" s="76"/>
      <c r="AA53" s="76"/>
      <c r="AE53" s="5"/>
      <c r="AF53" s="44"/>
      <c r="AH53" s="5"/>
      <c r="AI53" s="44"/>
    </row>
    <row r="54" spans="1:35" x14ac:dyDescent="0.2">
      <c r="A54" s="101"/>
      <c r="B54" s="147"/>
      <c r="C54" s="148" t="s">
        <v>525</v>
      </c>
      <c r="E54" s="72">
        <v>-478.69</v>
      </c>
      <c r="G54" s="72"/>
      <c r="K54" s="76"/>
      <c r="L54" s="76"/>
      <c r="M54" s="72"/>
      <c r="N54" s="76"/>
      <c r="O54" s="76"/>
      <c r="P54" s="87"/>
      <c r="Q54" s="76"/>
      <c r="R54" s="76"/>
      <c r="S54" s="88"/>
      <c r="T54" s="76"/>
      <c r="U54" s="76"/>
      <c r="V54" s="76"/>
      <c r="W54" s="76"/>
      <c r="X54" s="76"/>
      <c r="Y54" s="76"/>
      <c r="Z54" s="76"/>
      <c r="AA54" s="76"/>
      <c r="AE54" s="5"/>
      <c r="AF54" s="44"/>
      <c r="AH54" s="5"/>
      <c r="AI54" s="44"/>
    </row>
    <row r="55" spans="1:35" x14ac:dyDescent="0.2">
      <c r="A55" s="101"/>
      <c r="B55" s="147"/>
      <c r="C55" s="148" t="s">
        <v>688</v>
      </c>
      <c r="E55" s="116">
        <f>-'kolommenbalans 2020'!F55</f>
        <v>-21.310000000000002</v>
      </c>
      <c r="G55" s="72"/>
      <c r="K55" s="76"/>
      <c r="L55" s="76"/>
      <c r="M55" s="72"/>
      <c r="N55" s="76"/>
      <c r="O55" s="76"/>
      <c r="P55" s="87"/>
      <c r="Q55" s="76"/>
      <c r="R55" s="76"/>
      <c r="S55" s="88"/>
      <c r="T55" s="76"/>
      <c r="U55" s="76"/>
      <c r="V55" s="76"/>
      <c r="W55" s="76"/>
      <c r="X55" s="76"/>
      <c r="Y55" s="76"/>
      <c r="Z55" s="76"/>
      <c r="AA55" s="76"/>
      <c r="AE55" s="5"/>
      <c r="AF55" s="44"/>
      <c r="AH55" s="5"/>
      <c r="AI55" s="44"/>
    </row>
    <row r="56" spans="1:35" x14ac:dyDescent="0.2">
      <c r="A56" s="101"/>
      <c r="B56" s="147"/>
      <c r="C56" s="182" t="s">
        <v>679</v>
      </c>
      <c r="E56" s="47">
        <f>SUM(E52:E55)</f>
        <v>960</v>
      </c>
      <c r="G56" s="72"/>
      <c r="K56" s="76"/>
      <c r="L56" s="76"/>
      <c r="M56" s="72"/>
      <c r="N56" s="76"/>
      <c r="O56" s="76"/>
      <c r="P56" s="87"/>
      <c r="Q56" s="76"/>
      <c r="R56" s="76"/>
      <c r="S56" s="88"/>
      <c r="T56" s="76"/>
      <c r="U56" s="76"/>
      <c r="V56" s="76"/>
      <c r="W56" s="76"/>
      <c r="X56" s="76"/>
      <c r="Y56" s="76"/>
      <c r="Z56" s="76"/>
      <c r="AA56" s="76"/>
      <c r="AE56" s="5"/>
      <c r="AF56" s="44"/>
      <c r="AH56" s="5"/>
      <c r="AI56" s="44"/>
    </row>
    <row r="57" spans="1:35" x14ac:dyDescent="0.2">
      <c r="A57" s="147" t="s">
        <v>689</v>
      </c>
      <c r="B57" s="147"/>
      <c r="C57" s="147"/>
      <c r="E57" s="72"/>
      <c r="G57" s="72"/>
      <c r="K57" s="76"/>
      <c r="L57" s="76"/>
      <c r="M57" s="72"/>
      <c r="N57" s="76"/>
      <c r="O57" s="76"/>
      <c r="P57" s="87"/>
      <c r="Q57" s="76"/>
      <c r="R57" s="76"/>
      <c r="S57" s="88"/>
      <c r="T57" s="76"/>
      <c r="U57" s="76"/>
      <c r="V57" s="76"/>
      <c r="W57" s="76"/>
      <c r="X57" s="76"/>
      <c r="Y57" s="76"/>
      <c r="Z57" s="76"/>
      <c r="AA57" s="76"/>
      <c r="AE57" s="5"/>
      <c r="AF57" s="44"/>
      <c r="AH57" s="5"/>
      <c r="AI57" s="44"/>
    </row>
    <row r="58" spans="1:35" x14ac:dyDescent="0.2">
      <c r="A58" s="101"/>
      <c r="C58" s="162" t="s">
        <v>681</v>
      </c>
      <c r="D58" s="72"/>
      <c r="E58" s="72">
        <v>-3500</v>
      </c>
      <c r="F58" s="70"/>
      <c r="G58" s="72"/>
      <c r="I58" s="70"/>
      <c r="K58" s="76"/>
      <c r="L58" s="76"/>
      <c r="M58" s="72"/>
      <c r="N58" s="76"/>
      <c r="O58" s="76"/>
      <c r="P58" s="87"/>
      <c r="Q58" s="76"/>
      <c r="R58" s="76"/>
      <c r="S58" s="88"/>
      <c r="T58" s="76"/>
      <c r="U58" s="76"/>
      <c r="V58" s="76"/>
      <c r="W58" s="76"/>
      <c r="X58" s="76"/>
      <c r="Y58" s="76"/>
      <c r="Z58" s="76"/>
      <c r="AA58" s="76"/>
      <c r="AE58" s="5"/>
      <c r="AF58" s="44"/>
      <c r="AH58" s="5"/>
      <c r="AI58" s="44"/>
    </row>
    <row r="59" spans="1:35" s="5" customFormat="1" x14ac:dyDescent="0.2">
      <c r="A59" s="101"/>
      <c r="B59"/>
      <c r="C59" s="162" t="s">
        <v>680</v>
      </c>
      <c r="D59" s="72"/>
      <c r="E59" s="32">
        <v>-4000</v>
      </c>
      <c r="F59" s="70"/>
      <c r="G59" s="32"/>
      <c r="I59" s="70"/>
      <c r="K59" s="76"/>
      <c r="L59" s="76"/>
      <c r="M59" s="72"/>
      <c r="N59" s="76"/>
      <c r="O59" s="76"/>
      <c r="P59" s="87"/>
      <c r="Q59" s="76"/>
      <c r="R59" s="76"/>
      <c r="S59" s="88"/>
      <c r="T59" s="76"/>
      <c r="U59" s="76"/>
      <c r="V59" s="76"/>
      <c r="W59" s="76"/>
      <c r="X59" s="76"/>
      <c r="Y59" s="76"/>
      <c r="Z59" s="76"/>
      <c r="AA59" s="76"/>
      <c r="AC59"/>
      <c r="AD59"/>
      <c r="AF59" s="44"/>
      <c r="AG59"/>
      <c r="AI59" s="44"/>
    </row>
    <row r="60" spans="1:35" s="5" customFormat="1" x14ac:dyDescent="0.2">
      <c r="A60" s="76"/>
      <c r="B60" s="70"/>
      <c r="C60" s="148" t="s">
        <v>649</v>
      </c>
      <c r="D60" s="72"/>
      <c r="E60" s="32">
        <v>-2000</v>
      </c>
      <c r="F60" s="70"/>
      <c r="G60" s="32"/>
      <c r="I60" s="70"/>
      <c r="K60"/>
      <c r="L60"/>
      <c r="M60" s="72"/>
      <c r="N60"/>
      <c r="O60"/>
      <c r="P60" s="32"/>
      <c r="Q60"/>
      <c r="R60"/>
      <c r="S60" s="4"/>
      <c r="T60"/>
      <c r="U60"/>
      <c r="V60"/>
      <c r="W60"/>
      <c r="X60"/>
      <c r="Y60"/>
      <c r="Z60"/>
      <c r="AA60"/>
      <c r="AC60"/>
      <c r="AD60"/>
      <c r="AE60" s="23"/>
      <c r="AF60" s="44"/>
      <c r="AG60"/>
      <c r="AH60" s="23"/>
      <c r="AI60" s="44"/>
    </row>
    <row r="61" spans="1:35" x14ac:dyDescent="0.2">
      <c r="B61" s="70"/>
      <c r="C61" s="162" t="s">
        <v>650</v>
      </c>
      <c r="D61" s="72"/>
      <c r="E61" s="151">
        <v>-1000</v>
      </c>
      <c r="F61" s="70"/>
      <c r="G61" s="139"/>
      <c r="I61" s="100"/>
      <c r="M61" s="72"/>
    </row>
    <row r="62" spans="1:35" x14ac:dyDescent="0.2">
      <c r="B62" s="70"/>
      <c r="C62" s="162" t="s">
        <v>682</v>
      </c>
      <c r="D62" s="72"/>
      <c r="E62" s="146">
        <v>-5000</v>
      </c>
      <c r="F62" s="70"/>
      <c r="G62" s="72"/>
      <c r="I62" s="70"/>
    </row>
    <row r="63" spans="1:35" ht="15" x14ac:dyDescent="0.35">
      <c r="B63" s="70"/>
      <c r="C63" s="162" t="s">
        <v>652</v>
      </c>
      <c r="D63" s="146"/>
      <c r="E63" s="45">
        <v>-1000</v>
      </c>
      <c r="F63" s="147"/>
      <c r="G63" s="72"/>
      <c r="I63" s="70"/>
    </row>
    <row r="64" spans="1:35" x14ac:dyDescent="0.2">
      <c r="C64" s="182" t="s">
        <v>679</v>
      </c>
      <c r="E64" s="72">
        <f>SUM(E52:E63)</f>
        <v>-14580</v>
      </c>
      <c r="G64" s="72"/>
    </row>
    <row r="65" spans="1:8" x14ac:dyDescent="0.2">
      <c r="A65" s="147" t="s">
        <v>690</v>
      </c>
    </row>
    <row r="66" spans="1:8" x14ac:dyDescent="0.2">
      <c r="C66" s="148" t="s">
        <v>659</v>
      </c>
      <c r="E66" s="146">
        <v>1000</v>
      </c>
    </row>
    <row r="67" spans="1:8" x14ac:dyDescent="0.2">
      <c r="C67" s="148" t="s">
        <v>660</v>
      </c>
      <c r="E67" s="146">
        <v>2500</v>
      </c>
    </row>
    <row r="68" spans="1:8" x14ac:dyDescent="0.2">
      <c r="C68" s="148" t="s">
        <v>661</v>
      </c>
      <c r="E68" s="146">
        <v>1000</v>
      </c>
    </row>
    <row r="69" spans="1:8" x14ac:dyDescent="0.2">
      <c r="A69" s="21"/>
      <c r="C69" s="148" t="s">
        <v>662</v>
      </c>
      <c r="E69" s="146">
        <v>3000</v>
      </c>
    </row>
    <row r="70" spans="1:8" x14ac:dyDescent="0.2">
      <c r="C70" s="148" t="s">
        <v>663</v>
      </c>
      <c r="E70" s="163">
        <v>1000</v>
      </c>
    </row>
    <row r="71" spans="1:8" x14ac:dyDescent="0.2">
      <c r="C71" s="182" t="s">
        <v>679</v>
      </c>
      <c r="E71" s="32">
        <v>8500</v>
      </c>
    </row>
    <row r="73" spans="1:8" x14ac:dyDescent="0.2">
      <c r="A73" s="147" t="s">
        <v>691</v>
      </c>
      <c r="E73" s="32">
        <f>-'kolommenbalans 2020'!E5</f>
        <v>15676.860000000002</v>
      </c>
    </row>
    <row r="74" spans="1:8" x14ac:dyDescent="0.2">
      <c r="C74" s="148" t="s">
        <v>692</v>
      </c>
      <c r="E74" s="32">
        <f>+'kolommenbalans 2020'!E48</f>
        <v>-18500</v>
      </c>
    </row>
    <row r="75" spans="1:8" x14ac:dyDescent="0.2">
      <c r="C75" s="147" t="s">
        <v>240</v>
      </c>
      <c r="E75" s="32">
        <f>+E73+E74</f>
        <v>-2823.1399999999976</v>
      </c>
      <c r="H75" s="47"/>
    </row>
  </sheetData>
  <mergeCells count="23">
    <mergeCell ref="V3:W3"/>
    <mergeCell ref="AE4:AF4"/>
    <mergeCell ref="AH4:AI4"/>
    <mergeCell ref="Y3:Z3"/>
    <mergeCell ref="AB3:AC3"/>
    <mergeCell ref="AE3:AF3"/>
    <mergeCell ref="AH3:AI3"/>
    <mergeCell ref="D3:E3"/>
    <mergeCell ref="D4:E4"/>
    <mergeCell ref="B49:Q49"/>
    <mergeCell ref="Y4:Z4"/>
    <mergeCell ref="AB4:AC4"/>
    <mergeCell ref="G4:H4"/>
    <mergeCell ref="J4:K4"/>
    <mergeCell ref="M4:N4"/>
    <mergeCell ref="P4:Q4"/>
    <mergeCell ref="S4:T4"/>
    <mergeCell ref="V4:W4"/>
    <mergeCell ref="G3:H3"/>
    <mergeCell ref="J3:K3"/>
    <mergeCell ref="M3:N3"/>
    <mergeCell ref="P3:Q3"/>
    <mergeCell ref="S3:T3"/>
  </mergeCells>
  <pageMargins left="0.74803149606299202" right="0.74803149606299202" top="0.98425196850393704" bottom="0.78740157480314998" header="0.511811023622047" footer="0.511811023622047"/>
  <pageSetup paperSize="9" scale="54" orientation="portrait" r:id="rId1"/>
  <headerFooter alignWithMargins="0">
    <oddFooter>&amp;L&amp;F,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7AE3-06B4-4C3F-9469-77927172AD3A}">
  <sheetPr>
    <pageSetUpPr fitToPage="1"/>
  </sheetPr>
  <dimension ref="A1:R57"/>
  <sheetViews>
    <sheetView topLeftCell="A37" zoomScale="101" zoomScaleNormal="100" workbookViewId="0">
      <selection activeCell="K37" sqref="K1:K1048576"/>
    </sheetView>
  </sheetViews>
  <sheetFormatPr defaultColWidth="8.85546875" defaultRowHeight="12.75" x14ac:dyDescent="0.2"/>
  <cols>
    <col min="1" max="1" width="2.42578125" customWidth="1"/>
    <col min="2" max="2" width="6.85546875" customWidth="1"/>
    <col min="3" max="3" width="25.85546875" customWidth="1"/>
    <col min="4" max="5" width="10.28515625" customWidth="1"/>
    <col min="6" max="6" width="2.42578125" customWidth="1"/>
    <col min="7" max="8" width="10.28515625" customWidth="1"/>
    <col min="9" max="9" width="2.42578125" customWidth="1"/>
    <col min="10" max="10" width="10.28515625" style="32" customWidth="1"/>
    <col min="11" max="11" width="10.28515625" style="4" customWidth="1"/>
    <col min="12" max="12" width="2.42578125" customWidth="1"/>
    <col min="13" max="13" width="10.28515625" style="32" bestFit="1" customWidth="1"/>
    <col min="14" max="14" width="9.7109375" style="4" customWidth="1"/>
    <col min="15" max="15" width="2.42578125" customWidth="1"/>
    <col min="16" max="16" width="10.140625" style="32" customWidth="1"/>
    <col min="17" max="17" width="10.28515625" style="4" customWidth="1"/>
    <col min="18" max="18" width="2.42578125" customWidth="1"/>
  </cols>
  <sheetData>
    <row r="1" spans="1:17" ht="20.25" x14ac:dyDescent="0.3">
      <c r="A1" s="10" t="s">
        <v>74</v>
      </c>
    </row>
    <row r="3" spans="1:17" x14ac:dyDescent="0.2">
      <c r="D3" s="233">
        <v>2024</v>
      </c>
      <c r="E3" s="234"/>
      <c r="G3" s="233">
        <v>2023</v>
      </c>
      <c r="H3" s="234"/>
      <c r="J3" s="235" t="s">
        <v>713</v>
      </c>
      <c r="K3" s="236"/>
      <c r="M3" s="235" t="s">
        <v>702</v>
      </c>
      <c r="N3" s="236"/>
      <c r="P3" s="235" t="s">
        <v>640</v>
      </c>
      <c r="Q3" s="236"/>
    </row>
    <row r="4" spans="1:17" x14ac:dyDescent="0.2">
      <c r="D4" s="230" t="s">
        <v>73</v>
      </c>
      <c r="E4" s="231"/>
      <c r="G4" s="230" t="s">
        <v>73</v>
      </c>
      <c r="H4" s="231"/>
      <c r="J4" s="232" t="s">
        <v>73</v>
      </c>
      <c r="K4" s="231"/>
      <c r="M4" s="232" t="s">
        <v>73</v>
      </c>
      <c r="N4" s="231"/>
      <c r="P4" s="232" t="s">
        <v>73</v>
      </c>
      <c r="Q4" s="231"/>
    </row>
    <row r="5" spans="1:17" ht="15.75" x14ac:dyDescent="0.25">
      <c r="A5" s="2" t="s">
        <v>0</v>
      </c>
      <c r="D5" s="32"/>
      <c r="E5" s="8"/>
      <c r="G5" s="32"/>
      <c r="H5" s="8"/>
      <c r="K5" s="8"/>
      <c r="M5" s="32">
        <v>7500</v>
      </c>
      <c r="N5" s="8"/>
      <c r="P5" s="44"/>
      <c r="Q5" s="8"/>
    </row>
    <row r="6" spans="1:17" x14ac:dyDescent="0.2">
      <c r="A6" t="s">
        <v>11</v>
      </c>
      <c r="D6" s="32">
        <f>-'kolommenbalans 2024'!H43</f>
        <v>7500</v>
      </c>
      <c r="E6" s="8"/>
      <c r="G6" s="32">
        <v>7500</v>
      </c>
      <c r="H6" s="8"/>
      <c r="J6" s="32">
        <f>-'kolommenbalans 2022'!H35</f>
        <v>7500</v>
      </c>
      <c r="K6" s="8"/>
      <c r="N6" s="8"/>
      <c r="P6" s="32">
        <v>7500</v>
      </c>
      <c r="Q6" s="8"/>
    </row>
    <row r="7" spans="1:17" x14ac:dyDescent="0.2">
      <c r="A7" t="s">
        <v>1</v>
      </c>
      <c r="D7" s="32"/>
      <c r="E7" s="8"/>
      <c r="G7" s="32"/>
      <c r="H7" s="8"/>
      <c r="K7" s="8"/>
      <c r="N7" s="8"/>
      <c r="P7" s="32">
        <v>0</v>
      </c>
      <c r="Q7" s="8"/>
    </row>
    <row r="8" spans="1:17" x14ac:dyDescent="0.2">
      <c r="A8" t="s">
        <v>2</v>
      </c>
      <c r="D8" s="32"/>
      <c r="E8" s="8"/>
      <c r="G8" s="32"/>
      <c r="H8" s="8"/>
      <c r="K8" s="8"/>
      <c r="M8" s="32">
        <v>168.00000000000003</v>
      </c>
      <c r="N8" s="8"/>
      <c r="P8" s="32">
        <v>0</v>
      </c>
      <c r="Q8" s="8"/>
    </row>
    <row r="9" spans="1:17" x14ac:dyDescent="0.2">
      <c r="A9" s="70" t="s">
        <v>432</v>
      </c>
      <c r="D9" s="32">
        <f>+'kolommenbalans 2024'!D39</f>
        <v>330.95000000000005</v>
      </c>
      <c r="E9" s="8"/>
      <c r="G9" s="32">
        <f>+H43</f>
        <v>372.89999999999986</v>
      </c>
      <c r="H9" s="8"/>
      <c r="J9" s="32">
        <v>221.11</v>
      </c>
      <c r="K9" s="8"/>
      <c r="M9" s="32">
        <v>0</v>
      </c>
      <c r="N9" s="8"/>
      <c r="P9" s="32">
        <v>168.92999999999998</v>
      </c>
      <c r="Q9" s="8"/>
    </row>
    <row r="10" spans="1:17" ht="13.5" thickBot="1" x14ac:dyDescent="0.25">
      <c r="A10" s="70" t="s">
        <v>431</v>
      </c>
      <c r="D10" s="103">
        <f>-'kolommenbalans 2024'!I43</f>
        <v>2.4</v>
      </c>
      <c r="E10" s="8"/>
      <c r="G10" s="103">
        <f>1688.38-1675.01</f>
        <v>13.370000000000118</v>
      </c>
      <c r="H10" s="8"/>
      <c r="J10" s="103"/>
      <c r="K10" s="8"/>
      <c r="M10" s="103">
        <v>0</v>
      </c>
      <c r="N10" s="8"/>
      <c r="P10" s="103">
        <v>0</v>
      </c>
      <c r="Q10" s="8"/>
    </row>
    <row r="11" spans="1:17" ht="19.5" customHeight="1" x14ac:dyDescent="0.2">
      <c r="A11" s="3" t="s">
        <v>3</v>
      </c>
      <c r="D11" s="32"/>
      <c r="E11" s="8">
        <f>+D9+D6+D10</f>
        <v>7833.3499999999995</v>
      </c>
      <c r="G11" s="32"/>
      <c r="H11" s="8">
        <f>+G9+G6+G10</f>
        <v>7886.2699999999995</v>
      </c>
      <c r="J11" s="86"/>
      <c r="K11" s="8">
        <f>+J9+J6</f>
        <v>7721.11</v>
      </c>
      <c r="M11" s="86"/>
      <c r="N11" s="8">
        <v>7668</v>
      </c>
      <c r="P11" s="86"/>
      <c r="Q11" s="8">
        <v>7668.93</v>
      </c>
    </row>
    <row r="12" spans="1:17" x14ac:dyDescent="0.2">
      <c r="D12" s="32"/>
      <c r="E12" s="8"/>
      <c r="G12" s="32"/>
      <c r="H12" s="8"/>
      <c r="K12" s="8"/>
      <c r="N12" s="8"/>
      <c r="P12" s="44"/>
      <c r="Q12" s="8"/>
    </row>
    <row r="13" spans="1:17" x14ac:dyDescent="0.2">
      <c r="A13" t="s">
        <v>4</v>
      </c>
      <c r="D13" s="32">
        <v>0</v>
      </c>
      <c r="E13" s="8"/>
      <c r="G13" s="32">
        <v>0</v>
      </c>
      <c r="H13" s="8"/>
      <c r="J13" s="44">
        <v>0</v>
      </c>
      <c r="K13" s="8"/>
      <c r="M13" s="44">
        <v>0</v>
      </c>
      <c r="N13" s="8"/>
      <c r="P13" s="44">
        <v>0</v>
      </c>
      <c r="Q13" s="8"/>
    </row>
    <row r="14" spans="1:17" ht="13.5" thickBot="1" x14ac:dyDescent="0.25">
      <c r="A14" t="s">
        <v>5</v>
      </c>
      <c r="D14" s="103">
        <v>0</v>
      </c>
      <c r="E14" s="8">
        <v>0</v>
      </c>
      <c r="G14" s="103">
        <v>0</v>
      </c>
      <c r="H14" s="8">
        <v>0</v>
      </c>
      <c r="J14" s="85">
        <v>0</v>
      </c>
      <c r="K14" s="8">
        <v>0</v>
      </c>
      <c r="M14" s="85">
        <v>0</v>
      </c>
      <c r="N14" s="8">
        <v>0</v>
      </c>
      <c r="P14" s="85">
        <v>0</v>
      </c>
      <c r="Q14" s="8"/>
    </row>
    <row r="15" spans="1:17" ht="19.5" customHeight="1" x14ac:dyDescent="0.2">
      <c r="A15" s="3" t="s">
        <v>6</v>
      </c>
      <c r="D15" s="32"/>
      <c r="E15" s="8">
        <v>0</v>
      </c>
      <c r="G15" s="32"/>
      <c r="H15" s="8">
        <v>0</v>
      </c>
      <c r="K15" s="8">
        <v>0</v>
      </c>
      <c r="N15" s="8">
        <v>0</v>
      </c>
      <c r="P15" s="86"/>
      <c r="Q15" s="8">
        <v>0</v>
      </c>
    </row>
    <row r="16" spans="1:17" ht="13.5" thickBot="1" x14ac:dyDescent="0.25">
      <c r="A16" t="s">
        <v>14</v>
      </c>
      <c r="D16" s="32"/>
      <c r="E16" s="19">
        <v>0</v>
      </c>
      <c r="G16" s="32"/>
      <c r="H16" s="19">
        <v>0</v>
      </c>
      <c r="K16" s="19">
        <v>0</v>
      </c>
      <c r="N16" s="19">
        <v>0</v>
      </c>
      <c r="P16" s="44"/>
      <c r="Q16" s="19">
        <f>+Q15/Q11</f>
        <v>0</v>
      </c>
    </row>
    <row r="17" spans="1:17" ht="19.5" customHeight="1" x14ac:dyDescent="0.2">
      <c r="A17" s="3" t="s">
        <v>8</v>
      </c>
      <c r="D17" s="32"/>
      <c r="E17" s="214">
        <f>+E11</f>
        <v>7833.3499999999995</v>
      </c>
      <c r="G17" s="32"/>
      <c r="H17" s="214">
        <f>+H11</f>
        <v>7886.2699999999995</v>
      </c>
      <c r="K17" s="214">
        <f>+K11</f>
        <v>7721.11</v>
      </c>
      <c r="N17" s="214">
        <v>7668</v>
      </c>
      <c r="P17" s="86"/>
      <c r="Q17" s="8">
        <v>7668.93</v>
      </c>
    </row>
    <row r="18" spans="1:17" ht="13.5" thickBot="1" x14ac:dyDescent="0.25">
      <c r="A18" t="s">
        <v>7</v>
      </c>
      <c r="D18" s="32"/>
      <c r="E18" s="16"/>
      <c r="G18" s="32"/>
      <c r="H18" s="16"/>
      <c r="K18" s="16"/>
      <c r="N18" s="16"/>
      <c r="P18" s="44"/>
      <c r="Q18" s="16">
        <v>0</v>
      </c>
    </row>
    <row r="19" spans="1:17" ht="19.5" customHeight="1" x14ac:dyDescent="0.2">
      <c r="A19" s="3" t="s">
        <v>9</v>
      </c>
      <c r="D19" s="32"/>
      <c r="E19" s="8">
        <f>+E17</f>
        <v>7833.3499999999995</v>
      </c>
      <c r="G19" s="32"/>
      <c r="H19" s="8">
        <f>+H17</f>
        <v>7886.2699999999995</v>
      </c>
      <c r="K19" s="8">
        <f>+K17</f>
        <v>7721.11</v>
      </c>
      <c r="N19" s="8">
        <f>+N17</f>
        <v>7668</v>
      </c>
      <c r="P19" s="86"/>
      <c r="Q19" s="8">
        <v>7668.93</v>
      </c>
    </row>
    <row r="20" spans="1:17" x14ac:dyDescent="0.2">
      <c r="D20" s="32"/>
      <c r="E20" s="8"/>
      <c r="G20" s="32"/>
      <c r="H20" s="8"/>
      <c r="K20" s="8"/>
      <c r="N20" s="8"/>
      <c r="P20" s="44"/>
      <c r="Q20" s="8"/>
    </row>
    <row r="21" spans="1:17" ht="15.75" x14ac:dyDescent="0.25">
      <c r="A21" s="2" t="s">
        <v>10</v>
      </c>
      <c r="D21" s="32"/>
      <c r="E21" s="8"/>
      <c r="G21" s="32"/>
      <c r="H21" s="8"/>
      <c r="K21" s="8"/>
      <c r="M21" s="32">
        <v>0</v>
      </c>
      <c r="N21" s="8"/>
      <c r="P21" s="44"/>
      <c r="Q21" s="8"/>
    </row>
    <row r="22" spans="1:17" x14ac:dyDescent="0.2">
      <c r="A22" s="70" t="s">
        <v>578</v>
      </c>
      <c r="D22" s="32">
        <f>+'kolommenbalans 2024'!L43</f>
        <v>3000.4</v>
      </c>
      <c r="E22" s="8"/>
      <c r="G22" s="32">
        <v>4100</v>
      </c>
      <c r="H22" s="8"/>
      <c r="J22" s="32">
        <f>6000</f>
        <v>6000</v>
      </c>
      <c r="K22" s="8"/>
      <c r="M22" s="32">
        <v>0</v>
      </c>
      <c r="N22" s="8"/>
      <c r="P22" s="32">
        <v>17500</v>
      </c>
      <c r="Q22" s="8"/>
    </row>
    <row r="23" spans="1:17" x14ac:dyDescent="0.2">
      <c r="A23" s="70" t="s">
        <v>580</v>
      </c>
      <c r="D23" s="32"/>
      <c r="E23" s="8"/>
      <c r="G23" s="32"/>
      <c r="H23" s="8"/>
      <c r="J23" s="44">
        <f>+'kolommenbalans 2022'!D68+'kolommenbalans 2022'!D69</f>
        <v>4500</v>
      </c>
      <c r="K23" s="8"/>
      <c r="M23" s="44">
        <v>0</v>
      </c>
      <c r="N23" s="8"/>
      <c r="P23" s="44">
        <v>8500</v>
      </c>
      <c r="Q23" s="8"/>
    </row>
    <row r="24" spans="1:17" x14ac:dyDescent="0.2">
      <c r="A24" s="70" t="s">
        <v>579</v>
      </c>
      <c r="D24" s="32"/>
      <c r="E24" s="8"/>
      <c r="G24" s="32"/>
      <c r="H24" s="8"/>
      <c r="K24" s="8"/>
      <c r="M24" s="72">
        <v>0</v>
      </c>
      <c r="N24" s="8"/>
      <c r="P24" s="72"/>
      <c r="Q24" s="8"/>
    </row>
    <row r="25" spans="1:17" ht="12.75" hidden="1" customHeight="1" x14ac:dyDescent="0.2">
      <c r="A25" s="99" t="s">
        <v>421</v>
      </c>
      <c r="D25" s="32">
        <v>0</v>
      </c>
      <c r="E25" s="8"/>
      <c r="G25" s="32">
        <v>0</v>
      </c>
      <c r="H25" s="8"/>
      <c r="J25" s="44">
        <v>0</v>
      </c>
      <c r="K25" s="8"/>
      <c r="N25" s="8"/>
      <c r="P25" s="44"/>
      <c r="Q25" s="8"/>
    </row>
    <row r="26" spans="1:17" ht="13.5" thickBot="1" x14ac:dyDescent="0.25">
      <c r="A26" t="s">
        <v>5</v>
      </c>
      <c r="D26" s="103">
        <f>+'kolommenbalans 2024'!K36</f>
        <v>330.95000000000005</v>
      </c>
      <c r="E26" s="8"/>
      <c r="G26" s="103">
        <v>372.9</v>
      </c>
      <c r="H26" s="8"/>
      <c r="J26" s="85">
        <v>221.11</v>
      </c>
      <c r="K26" s="8"/>
      <c r="M26" s="44">
        <v>-168.00000000000003</v>
      </c>
      <c r="N26" s="8">
        <v>-168.00000000000003</v>
      </c>
      <c r="P26" s="85">
        <v>168.92999999999998</v>
      </c>
      <c r="Q26" s="8"/>
    </row>
    <row r="27" spans="1:17" ht="19.5" customHeight="1" x14ac:dyDescent="0.2">
      <c r="A27" s="3" t="s">
        <v>13</v>
      </c>
      <c r="D27" s="32"/>
      <c r="E27" s="8">
        <f>-SUM(D22:D26)</f>
        <v>-3331.3500000000004</v>
      </c>
      <c r="G27" s="32"/>
      <c r="H27" s="8">
        <f>-SUM(G22:G26)</f>
        <v>-4472.8999999999996</v>
      </c>
      <c r="J27" s="86"/>
      <c r="K27" s="8">
        <v>-10721</v>
      </c>
      <c r="M27" s="86"/>
      <c r="N27" s="8"/>
      <c r="P27" s="86"/>
      <c r="Q27" s="8">
        <v>26168.93</v>
      </c>
    </row>
    <row r="28" spans="1:17" x14ac:dyDescent="0.2">
      <c r="D28" s="32"/>
      <c r="E28" s="8"/>
      <c r="G28" s="32"/>
      <c r="H28" s="8"/>
      <c r="J28" s="44"/>
      <c r="K28" s="8"/>
      <c r="M28" s="44"/>
      <c r="N28" s="8"/>
      <c r="P28" s="44"/>
      <c r="Q28" s="8"/>
    </row>
    <row r="29" spans="1:17" ht="19.5" customHeight="1" x14ac:dyDescent="0.2">
      <c r="A29" s="1" t="s">
        <v>15</v>
      </c>
      <c r="D29" s="32"/>
      <c r="E29" s="8">
        <f>+E27+E19</f>
        <v>4501.9999999999991</v>
      </c>
      <c r="G29" s="32"/>
      <c r="H29" s="8">
        <f>+H27+H19</f>
        <v>3413.37</v>
      </c>
      <c r="J29" s="86"/>
      <c r="K29" s="8">
        <v>-3000</v>
      </c>
      <c r="M29" s="86"/>
      <c r="N29" s="8">
        <v>7500</v>
      </c>
      <c r="P29" s="86"/>
      <c r="Q29" s="8">
        <v>-18500</v>
      </c>
    </row>
    <row r="30" spans="1:17" x14ac:dyDescent="0.2">
      <c r="D30" s="32"/>
      <c r="E30" s="4"/>
      <c r="G30" s="32"/>
      <c r="H30" s="4"/>
      <c r="K30" s="219"/>
      <c r="P30" s="44"/>
      <c r="Q30" s="7"/>
    </row>
    <row r="31" spans="1:17" x14ac:dyDescent="0.2">
      <c r="A31" s="20" t="s">
        <v>16</v>
      </c>
      <c r="D31" s="32"/>
      <c r="E31" s="4"/>
      <c r="G31" s="32"/>
      <c r="H31" s="4"/>
      <c r="K31" s="219"/>
      <c r="M31" s="32">
        <v>0</v>
      </c>
      <c r="P31" s="44"/>
      <c r="Q31" s="7"/>
    </row>
    <row r="32" spans="1:17" x14ac:dyDescent="0.2">
      <c r="A32" t="s">
        <v>17</v>
      </c>
      <c r="D32" s="32">
        <v>0</v>
      </c>
      <c r="E32" s="8"/>
      <c r="G32" s="32">
        <v>0</v>
      </c>
      <c r="H32" s="8"/>
      <c r="J32" s="44">
        <v>0</v>
      </c>
      <c r="K32" s="8"/>
      <c r="N32" s="8"/>
      <c r="P32" s="44">
        <v>0</v>
      </c>
      <c r="Q32" s="8"/>
    </row>
    <row r="33" spans="1:18" ht="13.5" thickBot="1" x14ac:dyDescent="0.25">
      <c r="A33" t="s">
        <v>28</v>
      </c>
      <c r="D33" s="103">
        <f>+E29</f>
        <v>4501.9999999999991</v>
      </c>
      <c r="E33" s="8"/>
      <c r="G33" s="103">
        <f>+H29</f>
        <v>3413.37</v>
      </c>
      <c r="H33" s="8"/>
      <c r="J33" s="85">
        <f>+K29</f>
        <v>-3000</v>
      </c>
      <c r="K33" s="8"/>
      <c r="M33" s="85">
        <v>-4698.17</v>
      </c>
      <c r="N33" s="8"/>
      <c r="P33" s="85">
        <v>-18500</v>
      </c>
      <c r="Q33" s="8"/>
    </row>
    <row r="34" spans="1:18" ht="19.5" customHeight="1" x14ac:dyDescent="0.2">
      <c r="A34" s="3"/>
      <c r="D34" s="32"/>
      <c r="E34" s="8">
        <f>+D33</f>
        <v>4501.9999999999991</v>
      </c>
      <c r="G34" s="32"/>
      <c r="H34" s="8">
        <f>+G33</f>
        <v>3413.37</v>
      </c>
      <c r="J34" s="86"/>
      <c r="K34" s="8">
        <v>-3000</v>
      </c>
      <c r="M34" s="86"/>
      <c r="N34" s="8">
        <v>-4698.17</v>
      </c>
      <c r="P34" s="86"/>
      <c r="Q34" s="8">
        <v>-18500</v>
      </c>
    </row>
    <row r="35" spans="1:18" ht="19.5" customHeight="1" x14ac:dyDescent="0.2">
      <c r="A35" s="3"/>
      <c r="C35" s="47"/>
      <c r="D35" s="47"/>
      <c r="E35" s="8"/>
      <c r="F35" s="47"/>
      <c r="G35" s="47"/>
      <c r="H35" s="8"/>
      <c r="I35" s="47"/>
      <c r="J35" s="86"/>
      <c r="K35" s="8"/>
      <c r="L35" s="47"/>
      <c r="M35" s="86"/>
      <c r="N35" s="8"/>
      <c r="O35" s="47"/>
      <c r="P35" s="86"/>
      <c r="Q35" s="8"/>
      <c r="R35" s="47"/>
    </row>
    <row r="36" spans="1:18" ht="19.5" customHeight="1" x14ac:dyDescent="0.2">
      <c r="A36" s="3"/>
      <c r="C36" s="112"/>
      <c r="D36" s="112"/>
      <c r="E36" s="112"/>
      <c r="F36" s="112"/>
      <c r="G36" s="112"/>
      <c r="H36" s="112"/>
      <c r="I36" s="112"/>
      <c r="L36" s="112"/>
      <c r="O36" s="112"/>
      <c r="R36" s="112"/>
    </row>
    <row r="37" spans="1:18" x14ac:dyDescent="0.2">
      <c r="A37" s="20" t="s">
        <v>43</v>
      </c>
    </row>
    <row r="38" spans="1:18" x14ac:dyDescent="0.2">
      <c r="A38" t="s">
        <v>47</v>
      </c>
    </row>
    <row r="39" spans="1:18" x14ac:dyDescent="0.2">
      <c r="A39" s="76"/>
      <c r="B39" s="147" t="s">
        <v>785</v>
      </c>
      <c r="C39" s="76"/>
      <c r="D39" s="76"/>
      <c r="E39" s="76"/>
      <c r="F39" s="76"/>
      <c r="G39" s="76"/>
      <c r="H39" s="76"/>
      <c r="I39" s="76"/>
      <c r="J39" s="87"/>
      <c r="K39" s="88"/>
      <c r="L39" s="76"/>
      <c r="M39" s="87"/>
      <c r="N39" s="88"/>
      <c r="O39" s="76"/>
      <c r="P39" s="87"/>
      <c r="Q39" s="88"/>
      <c r="R39" s="76"/>
    </row>
    <row r="40" spans="1:18" x14ac:dyDescent="0.2">
      <c r="A40" s="76"/>
      <c r="C40" s="76"/>
      <c r="D40" s="76"/>
      <c r="E40" s="76"/>
      <c r="F40" s="76"/>
      <c r="G40" s="76"/>
      <c r="H40" s="76"/>
      <c r="I40" s="76"/>
      <c r="J40" s="87"/>
      <c r="K40" s="88"/>
      <c r="L40" s="76"/>
      <c r="M40" s="87"/>
      <c r="N40" s="88"/>
      <c r="O40" s="76"/>
      <c r="P40" s="87"/>
      <c r="Q40" s="88"/>
      <c r="R40" s="76"/>
    </row>
    <row r="41" spans="1:18" x14ac:dyDescent="0.2">
      <c r="A41" s="70" t="s">
        <v>414</v>
      </c>
      <c r="B41" s="76"/>
      <c r="C41" s="76"/>
      <c r="D41" s="76"/>
      <c r="E41" s="76"/>
      <c r="F41" s="76"/>
      <c r="G41" s="76"/>
      <c r="H41" s="76"/>
      <c r="I41" s="76"/>
      <c r="J41" s="87"/>
      <c r="K41" s="88"/>
      <c r="L41" s="76"/>
      <c r="M41" s="87"/>
      <c r="N41" s="88"/>
      <c r="O41" s="76"/>
      <c r="P41" s="87"/>
      <c r="Q41" s="88"/>
      <c r="R41" s="76"/>
    </row>
    <row r="42" spans="1:18" x14ac:dyDescent="0.2">
      <c r="B42" s="70" t="s">
        <v>107</v>
      </c>
      <c r="C42" s="76"/>
      <c r="D42" s="76"/>
      <c r="E42" s="76"/>
      <c r="F42" s="76"/>
      <c r="G42" s="76"/>
      <c r="H42" s="76"/>
      <c r="I42" s="76"/>
      <c r="J42" s="87"/>
      <c r="K42" s="88"/>
      <c r="L42" s="76"/>
      <c r="M42" s="87"/>
      <c r="N42" s="88"/>
      <c r="O42" s="76"/>
      <c r="P42" s="87"/>
      <c r="Q42" s="72"/>
      <c r="R42" s="76"/>
    </row>
    <row r="43" spans="1:18" x14ac:dyDescent="0.2">
      <c r="A43" s="76"/>
      <c r="B43" s="101" t="s">
        <v>786</v>
      </c>
      <c r="C43" s="76"/>
      <c r="D43" s="76"/>
      <c r="E43" s="151">
        <v>330.95</v>
      </c>
      <c r="F43" s="76"/>
      <c r="G43" s="76"/>
      <c r="H43" s="151">
        <f>+'kolommenbalans 2023'!K38</f>
        <v>372.89999999999986</v>
      </c>
      <c r="I43" s="76"/>
      <c r="J43" s="87"/>
      <c r="L43" s="76"/>
      <c r="N43" s="88"/>
      <c r="O43" s="76"/>
      <c r="P43" s="87"/>
      <c r="R43" s="76"/>
    </row>
    <row r="44" spans="1:18" x14ac:dyDescent="0.2">
      <c r="A44" s="76"/>
      <c r="B44" s="70"/>
      <c r="C44" s="76"/>
      <c r="D44" s="76"/>
      <c r="E44" s="76"/>
      <c r="F44" s="76"/>
      <c r="G44" s="76"/>
      <c r="H44" s="76"/>
      <c r="I44" s="76"/>
      <c r="J44" s="87"/>
      <c r="K44" s="88"/>
      <c r="L44" s="76"/>
      <c r="M44" s="87"/>
      <c r="N44" s="88"/>
      <c r="O44" s="76"/>
      <c r="P44" s="87"/>
      <c r="Q44" s="88"/>
      <c r="R44" s="76"/>
    </row>
    <row r="45" spans="1:18" x14ac:dyDescent="0.2">
      <c r="A45" s="70" t="s">
        <v>46</v>
      </c>
      <c r="B45" s="76"/>
      <c r="C45" s="76"/>
      <c r="D45" s="76"/>
      <c r="E45" s="76"/>
      <c r="F45" s="76"/>
      <c r="G45" s="76"/>
      <c r="H45" s="76"/>
      <c r="I45" s="76"/>
      <c r="J45" s="87"/>
      <c r="K45" s="88"/>
      <c r="L45" s="76"/>
      <c r="M45" s="87"/>
      <c r="N45" s="88"/>
      <c r="O45" s="76"/>
      <c r="P45" s="87"/>
      <c r="Q45" s="88"/>
      <c r="R45" s="76"/>
    </row>
    <row r="46" spans="1:18" ht="40.5" customHeight="1" x14ac:dyDescent="0.2">
      <c r="B46" s="228" t="s">
        <v>790</v>
      </c>
      <c r="C46" s="229"/>
      <c r="D46" s="229"/>
      <c r="E46" s="229"/>
      <c r="F46" s="229"/>
      <c r="G46" s="229"/>
      <c r="H46" s="229"/>
      <c r="I46" s="229"/>
      <c r="J46" s="229"/>
      <c r="K46" s="229"/>
      <c r="L46" s="229"/>
      <c r="M46" s="229"/>
      <c r="N46" s="229"/>
      <c r="O46" s="229"/>
      <c r="P46" s="229"/>
      <c r="Q46" s="229"/>
      <c r="R46" s="229"/>
    </row>
    <row r="48" spans="1:18" x14ac:dyDescent="0.2">
      <c r="A48" s="147" t="s">
        <v>746</v>
      </c>
    </row>
    <row r="49" spans="1:15" x14ac:dyDescent="0.2">
      <c r="A49" s="147"/>
      <c r="C49" s="148" t="s">
        <v>791</v>
      </c>
      <c r="D49" s="29"/>
      <c r="E49" s="4">
        <f>+'kolommenbalans 2024'!E5</f>
        <v>-4051.37</v>
      </c>
      <c r="F49" s="29"/>
      <c r="G49" s="29"/>
      <c r="H49" s="4"/>
      <c r="I49" s="29"/>
    </row>
    <row r="50" spans="1:15" x14ac:dyDescent="0.2">
      <c r="C50" s="148" t="s">
        <v>792</v>
      </c>
      <c r="D50" s="148"/>
      <c r="E50" s="164">
        <f>+'kolommenbalans 2024'!E44</f>
        <v>-4502</v>
      </c>
      <c r="F50" s="148"/>
      <c r="G50" s="148"/>
      <c r="H50" s="193"/>
      <c r="I50" s="148"/>
      <c r="J50" s="162"/>
      <c r="L50" s="148"/>
      <c r="N50" s="206"/>
      <c r="O50" s="148"/>
    </row>
    <row r="51" spans="1:15" x14ac:dyDescent="0.2">
      <c r="C51" s="148" t="s">
        <v>793</v>
      </c>
      <c r="D51" s="148"/>
      <c r="E51" s="4">
        <f>+E50+E49</f>
        <v>-8553.369999999999</v>
      </c>
      <c r="F51" s="148"/>
      <c r="G51" s="148"/>
      <c r="H51" s="4"/>
      <c r="I51" s="148"/>
      <c r="J51" s="146"/>
      <c r="L51" s="148"/>
      <c r="N51" s="208"/>
      <c r="O51" s="147"/>
    </row>
    <row r="52" spans="1:15" x14ac:dyDescent="0.2">
      <c r="E52" s="4"/>
      <c r="H52" s="4"/>
    </row>
    <row r="53" spans="1:15" x14ac:dyDescent="0.2">
      <c r="A53" s="147" t="s">
        <v>772</v>
      </c>
      <c r="H53" s="4"/>
    </row>
    <row r="54" spans="1:15" x14ac:dyDescent="0.2">
      <c r="A54" s="147"/>
      <c r="C54" s="148" t="s">
        <v>795</v>
      </c>
      <c r="E54" s="4">
        <f>+'kolommenbalans 2024'!F5</f>
        <v>-3600</v>
      </c>
      <c r="H54" s="4"/>
    </row>
    <row r="55" spans="1:15" ht="13.5" thickBot="1" x14ac:dyDescent="0.25">
      <c r="A55" s="147"/>
      <c r="C55" s="148" t="s">
        <v>794</v>
      </c>
      <c r="E55" s="9">
        <v>1200</v>
      </c>
      <c r="H55" s="4"/>
    </row>
    <row r="56" spans="1:15" x14ac:dyDescent="0.2">
      <c r="C56" s="148" t="s">
        <v>796</v>
      </c>
      <c r="D56" s="148"/>
      <c r="E56" s="4">
        <f>+E55+E54</f>
        <v>-2400</v>
      </c>
      <c r="F56" s="148"/>
      <c r="G56" s="148"/>
      <c r="H56" s="4"/>
      <c r="I56" s="148"/>
    </row>
    <row r="57" spans="1:15" x14ac:dyDescent="0.2">
      <c r="E57" s="4"/>
      <c r="H57" s="4"/>
    </row>
  </sheetData>
  <mergeCells count="11">
    <mergeCell ref="D3:E3"/>
    <mergeCell ref="G3:H3"/>
    <mergeCell ref="J3:K3"/>
    <mergeCell ref="M3:N3"/>
    <mergeCell ref="P3:Q3"/>
    <mergeCell ref="B46:R46"/>
    <mergeCell ref="D4:E4"/>
    <mergeCell ref="G4:H4"/>
    <mergeCell ref="J4:K4"/>
    <mergeCell ref="M4:N4"/>
    <mergeCell ref="P4:Q4"/>
  </mergeCells>
  <pageMargins left="0.74803149606299213" right="0.74803149606299213" top="0.98425196850393704" bottom="0.78740157480314965" header="0.51181102362204722" footer="0.51181102362204722"/>
  <pageSetup paperSize="9" scale="58" orientation="portrait" r:id="rId1"/>
  <headerFooter alignWithMargins="0">
    <oddFooter>&amp;L&amp;F, &amp;A&amp;R&amp;D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2594B-3DCB-4E9C-88E7-55B0DAEFFE06}">
  <sheetPr>
    <pageSetUpPr fitToPage="1"/>
  </sheetPr>
  <dimension ref="A1:P85"/>
  <sheetViews>
    <sheetView topLeftCell="A19" zoomScale="106" workbookViewId="0">
      <selection activeCell="A38" sqref="A38:B41"/>
    </sheetView>
  </sheetViews>
  <sheetFormatPr defaultColWidth="8.85546875" defaultRowHeight="12.75" x14ac:dyDescent="0.2"/>
  <cols>
    <col min="1" max="1" width="29.28515625" customWidth="1"/>
    <col min="2" max="2" width="14.28515625" customWidth="1"/>
    <col min="3" max="3" width="10.85546875" bestFit="1" customWidth="1"/>
    <col min="4" max="4" width="13.42578125" customWidth="1"/>
    <col min="5" max="5" width="11.42578125" bestFit="1" customWidth="1"/>
    <col min="6" max="6" width="10.85546875" style="32" bestFit="1" customWidth="1"/>
    <col min="7" max="7" width="1" style="84" customWidth="1"/>
    <col min="8" max="8" width="10.85546875" bestFit="1" customWidth="1"/>
    <col min="9" max="9" width="5.140625" bestFit="1" customWidth="1"/>
    <col min="10" max="10" width="1.140625" style="84" customWidth="1"/>
    <col min="11" max="11" width="8.28515625" bestFit="1" customWidth="1"/>
    <col min="12" max="12" width="10.85546875" style="32" bestFit="1" customWidth="1"/>
    <col min="13" max="13" width="9.85546875" bestFit="1" customWidth="1"/>
    <col min="14" max="14" width="10.85546875" bestFit="1" customWidth="1"/>
    <col min="15" max="15" width="16.42578125" style="99" bestFit="1" customWidth="1"/>
    <col min="16" max="16" width="1.140625" style="99" customWidth="1"/>
  </cols>
  <sheetData>
    <row r="1" spans="1:16" ht="15.75" x14ac:dyDescent="0.25">
      <c r="A1" s="42" t="s">
        <v>655</v>
      </c>
      <c r="B1" s="157"/>
    </row>
    <row r="2" spans="1:16" ht="12" customHeight="1" x14ac:dyDescent="0.2"/>
    <row r="3" spans="1:16" s="12" customFormat="1" ht="132.75" customHeight="1" x14ac:dyDescent="0.2">
      <c r="B3" s="69" t="s">
        <v>291</v>
      </c>
      <c r="C3" s="69" t="s">
        <v>292</v>
      </c>
      <c r="D3" s="90" t="s">
        <v>372</v>
      </c>
      <c r="E3" s="90" t="s">
        <v>633</v>
      </c>
      <c r="F3" s="118" t="s">
        <v>202</v>
      </c>
      <c r="G3" s="102"/>
      <c r="H3" s="69" t="s">
        <v>392</v>
      </c>
      <c r="I3" s="69" t="s">
        <v>302</v>
      </c>
      <c r="J3" s="102"/>
      <c r="K3" s="69" t="s">
        <v>190</v>
      </c>
      <c r="L3" s="118" t="s">
        <v>324</v>
      </c>
      <c r="M3" s="90" t="s">
        <v>447</v>
      </c>
      <c r="O3" s="152"/>
      <c r="P3" s="152"/>
    </row>
    <row r="5" spans="1:16" s="20" customFormat="1" x14ac:dyDescent="0.2">
      <c r="A5" s="20" t="s">
        <v>191</v>
      </c>
      <c r="B5" s="39">
        <v>16585.929999999997</v>
      </c>
      <c r="C5" s="39">
        <v>1675.0099999999948</v>
      </c>
      <c r="D5" s="39">
        <v>-164.07999999999993</v>
      </c>
      <c r="E5" s="39">
        <v>-15676.860000000002</v>
      </c>
      <c r="F5" s="39">
        <v>-2420</v>
      </c>
      <c r="G5" s="83"/>
      <c r="H5" s="39"/>
      <c r="I5" s="39"/>
      <c r="J5" s="83"/>
      <c r="K5" s="39">
        <f>+'kolommenbalans 2014'!K29</f>
        <v>0</v>
      </c>
      <c r="L5" s="39"/>
      <c r="M5" s="39"/>
      <c r="N5" s="39">
        <f>SUM(B5:K5)</f>
        <v>-9.0949470177292824E-12</v>
      </c>
      <c r="O5" s="153">
        <f>SUM(I5:K5)</f>
        <v>0</v>
      </c>
      <c r="P5" s="154"/>
    </row>
    <row r="6" spans="1:16" x14ac:dyDescent="0.2">
      <c r="A6" s="117">
        <v>43466</v>
      </c>
      <c r="B6" s="32">
        <f>-F6</f>
        <v>-80</v>
      </c>
      <c r="C6" s="32"/>
      <c r="D6" s="32"/>
      <c r="E6" s="32"/>
      <c r="F6" s="32">
        <v>80</v>
      </c>
      <c r="G6" s="132"/>
      <c r="H6" s="32"/>
      <c r="I6" s="32"/>
      <c r="J6" s="132"/>
      <c r="K6" s="32"/>
      <c r="M6" s="32"/>
      <c r="N6" s="39">
        <f>SUM(B6:M6)</f>
        <v>0</v>
      </c>
      <c r="O6" s="155" t="s">
        <v>642</v>
      </c>
    </row>
    <row r="7" spans="1:16" x14ac:dyDescent="0.2">
      <c r="A7" s="117">
        <v>43470</v>
      </c>
      <c r="B7" s="32">
        <f>-K7</f>
        <v>-59.82</v>
      </c>
      <c r="C7" s="32"/>
      <c r="E7" s="32"/>
      <c r="G7" s="132"/>
      <c r="H7" s="32"/>
      <c r="K7" s="32">
        <v>59.82</v>
      </c>
      <c r="M7" s="32"/>
      <c r="N7" s="39"/>
      <c r="O7" s="155" t="s">
        <v>643</v>
      </c>
    </row>
    <row r="8" spans="1:16" x14ac:dyDescent="0.2">
      <c r="A8" s="117">
        <v>43493</v>
      </c>
      <c r="B8" s="32">
        <f>-K8</f>
        <v>-9.41</v>
      </c>
      <c r="C8" s="32"/>
      <c r="D8" s="32"/>
      <c r="E8" s="32"/>
      <c r="G8" s="132"/>
      <c r="H8" s="32"/>
      <c r="I8" s="32"/>
      <c r="J8" s="132"/>
      <c r="K8" s="32">
        <v>9.41</v>
      </c>
      <c r="M8" s="32"/>
      <c r="N8" s="39">
        <f>SUM(B8:M8)</f>
        <v>0</v>
      </c>
      <c r="O8" s="155" t="s">
        <v>644</v>
      </c>
    </row>
    <row r="9" spans="1:16" x14ac:dyDescent="0.2">
      <c r="A9" s="117">
        <v>43497</v>
      </c>
      <c r="B9" s="32">
        <f>-F9</f>
        <v>-80</v>
      </c>
      <c r="C9" s="32"/>
      <c r="E9" s="32"/>
      <c r="F9" s="32">
        <v>80</v>
      </c>
      <c r="G9" s="132"/>
      <c r="H9" s="32"/>
      <c r="K9" s="32"/>
      <c r="N9" s="39">
        <f>SUM(B9:M9)</f>
        <v>0</v>
      </c>
      <c r="O9" s="155" t="s">
        <v>642</v>
      </c>
    </row>
    <row r="10" spans="1:16" x14ac:dyDescent="0.2">
      <c r="A10" s="117">
        <v>43887</v>
      </c>
      <c r="B10" s="32">
        <f>-K10</f>
        <v>-9.11</v>
      </c>
      <c r="C10" s="32"/>
      <c r="E10" s="32"/>
      <c r="G10" s="132"/>
      <c r="H10" s="32"/>
      <c r="K10" s="32">
        <v>9.11</v>
      </c>
      <c r="N10" s="39"/>
      <c r="O10" s="155" t="s">
        <v>644</v>
      </c>
    </row>
    <row r="11" spans="1:16" x14ac:dyDescent="0.2">
      <c r="A11" s="117">
        <v>43891</v>
      </c>
      <c r="B11" s="32">
        <f>-F11</f>
        <v>-80</v>
      </c>
      <c r="C11" s="32"/>
      <c r="D11" s="32"/>
      <c r="E11" s="32"/>
      <c r="F11" s="32">
        <v>80</v>
      </c>
      <c r="G11" s="132"/>
      <c r="H11" s="32"/>
      <c r="I11" s="32"/>
      <c r="J11" s="132"/>
      <c r="K11" s="32"/>
      <c r="M11" s="32"/>
      <c r="N11" s="39">
        <f>SUM(B11:M11)</f>
        <v>0</v>
      </c>
      <c r="O11" s="155" t="s">
        <v>642</v>
      </c>
    </row>
    <row r="12" spans="1:16" x14ac:dyDescent="0.2">
      <c r="A12" s="117">
        <v>26.03</v>
      </c>
      <c r="B12" s="32">
        <f>-K12</f>
        <v>-8.92</v>
      </c>
      <c r="C12" s="32"/>
      <c r="E12" s="32"/>
      <c r="G12" s="132"/>
      <c r="H12" s="32"/>
      <c r="K12" s="32">
        <v>8.92</v>
      </c>
      <c r="N12" s="39">
        <f>SUM(B12:M12)</f>
        <v>0</v>
      </c>
      <c r="O12" s="155" t="s">
        <v>644</v>
      </c>
    </row>
    <row r="13" spans="1:16" x14ac:dyDescent="0.2">
      <c r="A13" s="117">
        <v>43922</v>
      </c>
      <c r="B13" s="32">
        <f>-F13</f>
        <v>-80</v>
      </c>
      <c r="C13" s="32"/>
      <c r="E13" s="32"/>
      <c r="F13" s="32">
        <v>80</v>
      </c>
      <c r="G13" s="132"/>
      <c r="H13" s="32"/>
      <c r="K13" s="32"/>
      <c r="M13" s="32"/>
      <c r="N13" s="39">
        <f>SUM(B13:M13)</f>
        <v>0</v>
      </c>
      <c r="O13" s="155" t="s">
        <v>642</v>
      </c>
    </row>
    <row r="14" spans="1:16" x14ac:dyDescent="0.2">
      <c r="A14" s="117">
        <v>43947</v>
      </c>
      <c r="B14" s="32">
        <f>-K14</f>
        <v>-8.92</v>
      </c>
      <c r="C14" s="32"/>
      <c r="E14" s="32"/>
      <c r="G14" s="132"/>
      <c r="H14" s="32"/>
      <c r="K14" s="32">
        <v>8.92</v>
      </c>
      <c r="N14" s="39">
        <f>SUM(B14:L14)</f>
        <v>0</v>
      </c>
      <c r="O14" s="155" t="s">
        <v>644</v>
      </c>
    </row>
    <row r="15" spans="1:16" x14ac:dyDescent="0.2">
      <c r="A15" s="117">
        <v>43952</v>
      </c>
      <c r="B15" s="32">
        <f t="shared" ref="B15" si="0">-F15</f>
        <v>-80</v>
      </c>
      <c r="C15" s="32"/>
      <c r="E15" s="32"/>
      <c r="F15" s="32">
        <v>80</v>
      </c>
      <c r="G15" s="132"/>
      <c r="H15" s="32"/>
      <c r="K15" s="32"/>
      <c r="N15" s="39">
        <f>SUM(B15:L15)</f>
        <v>0</v>
      </c>
      <c r="O15" s="155" t="s">
        <v>642</v>
      </c>
    </row>
    <row r="16" spans="1:16" x14ac:dyDescent="0.2">
      <c r="A16" s="117">
        <v>43977</v>
      </c>
      <c r="B16" s="32">
        <f>-K16</f>
        <v>-8.92</v>
      </c>
      <c r="C16" s="32"/>
      <c r="E16" s="32"/>
      <c r="G16" s="132"/>
      <c r="H16" s="32"/>
      <c r="K16" s="32">
        <v>8.92</v>
      </c>
      <c r="N16" s="39">
        <f>SUM(B16:L16)</f>
        <v>0</v>
      </c>
      <c r="O16" s="155" t="s">
        <v>644</v>
      </c>
    </row>
    <row r="17" spans="1:15" x14ac:dyDescent="0.2">
      <c r="A17" s="117">
        <v>43983</v>
      </c>
      <c r="B17" s="32">
        <f>-F17</f>
        <v>-80</v>
      </c>
      <c r="C17" s="32"/>
      <c r="E17" s="32"/>
      <c r="F17" s="32">
        <v>80</v>
      </c>
      <c r="G17" s="132"/>
      <c r="H17" s="32"/>
      <c r="K17" s="32"/>
      <c r="N17" s="39">
        <f>SUM(B17:L17)</f>
        <v>0</v>
      </c>
      <c r="O17" s="155" t="s">
        <v>642</v>
      </c>
    </row>
    <row r="18" spans="1:15" x14ac:dyDescent="0.2">
      <c r="A18" s="117">
        <v>44008</v>
      </c>
      <c r="B18" s="32">
        <f>-K18</f>
        <v>-8.92</v>
      </c>
      <c r="E18" s="32"/>
      <c r="G18" s="132"/>
      <c r="H18" s="32"/>
      <c r="I18" s="32"/>
      <c r="J18" s="132"/>
      <c r="K18" s="32">
        <v>8.92</v>
      </c>
      <c r="M18" s="32"/>
      <c r="N18" s="39">
        <f>SUM(B18:K18)</f>
        <v>0</v>
      </c>
      <c r="O18" s="155" t="s">
        <v>644</v>
      </c>
    </row>
    <row r="19" spans="1:15" x14ac:dyDescent="0.2">
      <c r="A19" s="117">
        <v>44013</v>
      </c>
      <c r="B19" s="32">
        <f>-F19</f>
        <v>-80</v>
      </c>
      <c r="C19" s="32"/>
      <c r="E19" s="32"/>
      <c r="F19" s="32">
        <v>80</v>
      </c>
      <c r="G19" s="132"/>
      <c r="H19" s="32"/>
      <c r="I19" s="32"/>
      <c r="J19" s="132"/>
      <c r="K19" s="32"/>
      <c r="M19" s="32"/>
      <c r="N19" s="39">
        <f t="shared" ref="N19:N37" si="1">SUM(B19:M19)</f>
        <v>0</v>
      </c>
      <c r="O19" s="155" t="s">
        <v>642</v>
      </c>
    </row>
    <row r="20" spans="1:15" x14ac:dyDescent="0.2">
      <c r="A20" s="31">
        <v>44038</v>
      </c>
      <c r="B20" s="32">
        <f>-K20</f>
        <v>-8.92</v>
      </c>
      <c r="C20" s="32"/>
      <c r="E20" s="32"/>
      <c r="G20" s="132"/>
      <c r="H20" s="32"/>
      <c r="I20" s="32"/>
      <c r="J20" s="132"/>
      <c r="K20" s="32">
        <v>8.92</v>
      </c>
      <c r="M20" s="32"/>
      <c r="N20" s="39">
        <f t="shared" si="1"/>
        <v>0</v>
      </c>
      <c r="O20" s="155" t="s">
        <v>644</v>
      </c>
    </row>
    <row r="21" spans="1:15" x14ac:dyDescent="0.2">
      <c r="A21" s="117">
        <v>44039</v>
      </c>
      <c r="B21" s="32">
        <f>-H21</f>
        <v>7500</v>
      </c>
      <c r="C21" s="32"/>
      <c r="D21" s="32"/>
      <c r="E21" s="32"/>
      <c r="F21" s="146" t="s">
        <v>645</v>
      </c>
      <c r="G21" s="132"/>
      <c r="H21" s="32">
        <v>-7500</v>
      </c>
      <c r="I21" s="32"/>
      <c r="J21" s="132"/>
      <c r="K21" s="32"/>
      <c r="N21" s="39">
        <f t="shared" si="1"/>
        <v>0</v>
      </c>
      <c r="O21" s="99" t="s">
        <v>646</v>
      </c>
    </row>
    <row r="22" spans="1:15" x14ac:dyDescent="0.2">
      <c r="A22" s="117">
        <v>44043</v>
      </c>
      <c r="B22" s="32">
        <f>-L22</f>
        <v>-3500</v>
      </c>
      <c r="C22" s="32"/>
      <c r="D22" s="32"/>
      <c r="E22" s="32"/>
      <c r="G22" s="132"/>
      <c r="H22" s="32"/>
      <c r="I22" s="32"/>
      <c r="J22" s="132"/>
      <c r="K22" s="32"/>
      <c r="L22" s="32">
        <v>3500</v>
      </c>
      <c r="N22" s="39">
        <f t="shared" si="1"/>
        <v>0</v>
      </c>
      <c r="O22" s="155" t="s">
        <v>647</v>
      </c>
    </row>
    <row r="23" spans="1:15" x14ac:dyDescent="0.2">
      <c r="A23" s="117">
        <v>44043</v>
      </c>
      <c r="B23" s="32">
        <f>-L23</f>
        <v>-5000</v>
      </c>
      <c r="C23" s="32"/>
      <c r="E23" s="32"/>
      <c r="G23" s="132"/>
      <c r="H23" s="32"/>
      <c r="I23" s="32"/>
      <c r="J23" s="132"/>
      <c r="K23" s="32"/>
      <c r="L23" s="32">
        <v>5000</v>
      </c>
      <c r="N23" s="39">
        <f t="shared" si="1"/>
        <v>0</v>
      </c>
      <c r="O23" s="155" t="s">
        <v>648</v>
      </c>
    </row>
    <row r="24" spans="1:15" x14ac:dyDescent="0.2">
      <c r="A24" s="117">
        <v>44044</v>
      </c>
      <c r="B24" s="32">
        <f>-F24</f>
        <v>-80</v>
      </c>
      <c r="C24" s="32"/>
      <c r="D24" s="32"/>
      <c r="E24" s="32"/>
      <c r="F24" s="32">
        <v>80</v>
      </c>
      <c r="G24" s="132"/>
      <c r="H24" s="32"/>
      <c r="I24" s="32"/>
      <c r="J24" s="132"/>
      <c r="K24" s="32"/>
      <c r="N24" s="39">
        <f t="shared" si="1"/>
        <v>0</v>
      </c>
      <c r="O24" s="155" t="s">
        <v>642</v>
      </c>
    </row>
    <row r="25" spans="1:15" x14ac:dyDescent="0.2">
      <c r="A25" s="117">
        <v>44069</v>
      </c>
      <c r="B25" s="32">
        <f>-K25</f>
        <v>-9.49</v>
      </c>
      <c r="C25" s="32"/>
      <c r="D25" s="32"/>
      <c r="E25" s="32"/>
      <c r="G25" s="132"/>
      <c r="H25" s="32"/>
      <c r="I25" s="32"/>
      <c r="J25" s="132"/>
      <c r="K25" s="32">
        <v>9.49</v>
      </c>
      <c r="N25" s="39">
        <f t="shared" si="1"/>
        <v>0</v>
      </c>
      <c r="O25" s="155" t="s">
        <v>644</v>
      </c>
    </row>
    <row r="26" spans="1:15" x14ac:dyDescent="0.2">
      <c r="A26" s="117">
        <v>44075</v>
      </c>
      <c r="B26" s="32">
        <f t="shared" ref="B26:B28" si="2">-F26</f>
        <v>-80</v>
      </c>
      <c r="C26" s="32"/>
      <c r="D26" s="32"/>
      <c r="E26" s="32"/>
      <c r="F26" s="32">
        <v>80</v>
      </c>
      <c r="G26" s="132"/>
      <c r="H26" s="32"/>
      <c r="I26" s="32"/>
      <c r="J26" s="132"/>
      <c r="K26" s="32"/>
      <c r="N26" s="39">
        <f t="shared" si="1"/>
        <v>0</v>
      </c>
      <c r="O26" s="155" t="s">
        <v>642</v>
      </c>
    </row>
    <row r="27" spans="1:15" x14ac:dyDescent="0.2">
      <c r="A27" s="117">
        <v>44100</v>
      </c>
      <c r="B27" s="32">
        <f>-K27</f>
        <v>-8.92</v>
      </c>
      <c r="C27" s="32"/>
      <c r="D27" s="32"/>
      <c r="E27" s="32"/>
      <c r="G27" s="132"/>
      <c r="H27" s="32"/>
      <c r="I27" s="32"/>
      <c r="J27" s="132"/>
      <c r="K27" s="32">
        <v>8.92</v>
      </c>
      <c r="N27" s="39">
        <f t="shared" si="1"/>
        <v>0</v>
      </c>
      <c r="O27" s="155" t="s">
        <v>644</v>
      </c>
    </row>
    <row r="28" spans="1:15" x14ac:dyDescent="0.2">
      <c r="A28" s="117">
        <v>44105</v>
      </c>
      <c r="B28" s="32">
        <f t="shared" si="2"/>
        <v>-80</v>
      </c>
      <c r="C28" s="32"/>
      <c r="D28" s="32"/>
      <c r="E28" s="32"/>
      <c r="F28" s="32">
        <v>80</v>
      </c>
      <c r="G28" s="132"/>
      <c r="H28" s="32"/>
      <c r="I28" s="32"/>
      <c r="J28" s="132"/>
      <c r="K28" s="32"/>
      <c r="N28" s="39">
        <f t="shared" si="1"/>
        <v>0</v>
      </c>
      <c r="O28" s="155" t="s">
        <v>642</v>
      </c>
    </row>
    <row r="29" spans="1:15" x14ac:dyDescent="0.2">
      <c r="A29" s="117">
        <v>44117</v>
      </c>
      <c r="B29" s="32">
        <f>-L29</f>
        <v>-2000</v>
      </c>
      <c r="C29" s="32"/>
      <c r="D29" s="32"/>
      <c r="E29" s="32"/>
      <c r="G29" s="132"/>
      <c r="H29" s="32"/>
      <c r="I29" s="32"/>
      <c r="J29" s="132"/>
      <c r="K29" s="32"/>
      <c r="L29" s="32">
        <v>2000</v>
      </c>
      <c r="N29" s="39">
        <f t="shared" si="1"/>
        <v>0</v>
      </c>
      <c r="O29" s="155" t="s">
        <v>649</v>
      </c>
    </row>
    <row r="30" spans="1:15" x14ac:dyDescent="0.2">
      <c r="A30" s="117">
        <v>44129</v>
      </c>
      <c r="B30" s="32">
        <f>-K30</f>
        <v>-8.92</v>
      </c>
      <c r="C30" s="32"/>
      <c r="D30" s="32"/>
      <c r="E30" s="32"/>
      <c r="G30" s="132"/>
      <c r="H30" s="32"/>
      <c r="I30" s="32"/>
      <c r="J30" s="132"/>
      <c r="K30">
        <v>8.92</v>
      </c>
      <c r="N30" s="39">
        <f t="shared" si="1"/>
        <v>0</v>
      </c>
      <c r="O30" s="155" t="s">
        <v>644</v>
      </c>
    </row>
    <row r="31" spans="1:15" x14ac:dyDescent="0.2">
      <c r="A31" s="117">
        <v>44136</v>
      </c>
      <c r="B31" s="32">
        <f>-F31</f>
        <v>-80</v>
      </c>
      <c r="C31" s="32"/>
      <c r="D31" s="32"/>
      <c r="E31" s="32"/>
      <c r="F31" s="32">
        <v>80</v>
      </c>
      <c r="G31" s="132"/>
      <c r="H31" s="32"/>
      <c r="I31" s="32"/>
      <c r="J31" s="132"/>
      <c r="K31" s="32"/>
      <c r="N31" s="39">
        <f t="shared" si="1"/>
        <v>0</v>
      </c>
      <c r="O31" s="155" t="s">
        <v>642</v>
      </c>
    </row>
    <row r="32" spans="1:15" x14ac:dyDescent="0.2">
      <c r="A32" s="117">
        <v>44150</v>
      </c>
      <c r="B32" s="32">
        <f>-L32</f>
        <v>-1000</v>
      </c>
      <c r="C32" s="32"/>
      <c r="D32" s="32"/>
      <c r="E32" s="32"/>
      <c r="G32" s="132"/>
      <c r="H32" s="32"/>
      <c r="I32" s="32"/>
      <c r="J32" s="132"/>
      <c r="K32" s="32"/>
      <c r="L32" s="32">
        <v>1000</v>
      </c>
      <c r="N32" s="39">
        <f t="shared" si="1"/>
        <v>0</v>
      </c>
      <c r="O32" s="155" t="s">
        <v>650</v>
      </c>
    </row>
    <row r="33" spans="1:16" x14ac:dyDescent="0.2">
      <c r="A33" s="117">
        <v>44150</v>
      </c>
      <c r="B33" s="32">
        <f>-L33</f>
        <v>-5000</v>
      </c>
      <c r="C33" s="32"/>
      <c r="D33" s="32"/>
      <c r="E33" s="32"/>
      <c r="G33" s="132"/>
      <c r="H33" s="32"/>
      <c r="I33" s="32"/>
      <c r="J33" s="132"/>
      <c r="K33" s="32"/>
      <c r="L33" s="32">
        <v>5000</v>
      </c>
      <c r="N33" s="39">
        <f t="shared" si="1"/>
        <v>0</v>
      </c>
      <c r="O33" s="155" t="s">
        <v>651</v>
      </c>
    </row>
    <row r="34" spans="1:16" s="147" customFormat="1" x14ac:dyDescent="0.2">
      <c r="A34" s="158">
        <v>44151</v>
      </c>
      <c r="B34" s="146">
        <f>-L34</f>
        <v>-1000</v>
      </c>
      <c r="C34" s="146"/>
      <c r="D34" s="146"/>
      <c r="E34" s="146"/>
      <c r="F34" s="146"/>
      <c r="G34" s="159"/>
      <c r="H34" s="146"/>
      <c r="I34" s="146"/>
      <c r="J34" s="159"/>
      <c r="K34" s="146"/>
      <c r="L34" s="146">
        <v>1000</v>
      </c>
      <c r="N34" s="39">
        <f t="shared" si="1"/>
        <v>0</v>
      </c>
      <c r="O34" s="155" t="s">
        <v>652</v>
      </c>
      <c r="P34" s="99"/>
    </row>
    <row r="35" spans="1:16" s="147" customFormat="1" x14ac:dyDescent="0.2">
      <c r="A35" s="158">
        <v>44161</v>
      </c>
      <c r="B35" s="146">
        <f>-K35</f>
        <v>-9.1300000000000008</v>
      </c>
      <c r="C35" s="146"/>
      <c r="D35" s="146"/>
      <c r="E35" s="146"/>
      <c r="F35" s="146"/>
      <c r="G35" s="159"/>
      <c r="H35" s="146"/>
      <c r="I35" s="146"/>
      <c r="J35" s="159"/>
      <c r="K35" s="146">
        <v>9.1300000000000008</v>
      </c>
      <c r="L35" s="146"/>
      <c r="N35" s="39">
        <f t="shared" si="1"/>
        <v>0</v>
      </c>
      <c r="O35" s="155" t="s">
        <v>644</v>
      </c>
      <c r="P35" s="99"/>
    </row>
    <row r="36" spans="1:16" s="147" customFormat="1" x14ac:dyDescent="0.2">
      <c r="A36" s="158">
        <v>44166</v>
      </c>
      <c r="B36" s="146">
        <f>-F36</f>
        <v>-80</v>
      </c>
      <c r="C36" s="146"/>
      <c r="D36" s="146"/>
      <c r="E36" s="146"/>
      <c r="F36" s="146">
        <v>80</v>
      </c>
      <c r="G36" s="159"/>
      <c r="H36" s="146"/>
      <c r="I36" s="146"/>
      <c r="J36" s="159"/>
      <c r="K36" s="146"/>
      <c r="L36" s="146"/>
      <c r="N36" s="39">
        <f t="shared" si="1"/>
        <v>0</v>
      </c>
      <c r="O36" s="155" t="s">
        <v>642</v>
      </c>
      <c r="P36" s="99"/>
    </row>
    <row r="37" spans="1:16" s="147" customFormat="1" x14ac:dyDescent="0.2">
      <c r="A37" s="158">
        <v>44191</v>
      </c>
      <c r="B37" s="146">
        <f>-K37</f>
        <v>-9.5299999999999994</v>
      </c>
      <c r="C37" s="146"/>
      <c r="D37" s="146"/>
      <c r="E37" s="146"/>
      <c r="F37" s="146"/>
      <c r="G37" s="159"/>
      <c r="H37" s="146"/>
      <c r="I37" s="146"/>
      <c r="J37" s="159"/>
      <c r="K37" s="146">
        <v>9.5299999999999994</v>
      </c>
      <c r="L37" s="146"/>
      <c r="N37" s="39">
        <f t="shared" si="1"/>
        <v>0</v>
      </c>
      <c r="O37" s="155" t="s">
        <v>644</v>
      </c>
      <c r="P37" s="99"/>
    </row>
    <row r="38" spans="1:16" x14ac:dyDescent="0.2">
      <c r="A38" s="140"/>
      <c r="B38" s="146"/>
      <c r="C38" s="32"/>
      <c r="D38" s="32"/>
      <c r="E38" s="32"/>
      <c r="G38" s="132"/>
      <c r="H38" s="32"/>
      <c r="I38" s="32"/>
      <c r="J38" s="132"/>
      <c r="K38" s="32"/>
      <c r="N38" s="39"/>
      <c r="O38" s="155"/>
    </row>
    <row r="39" spans="1:16" s="20" customFormat="1" x14ac:dyDescent="0.2">
      <c r="A39" s="20" t="s">
        <v>203</v>
      </c>
      <c r="B39" s="39">
        <f>SUM(B5:B38)</f>
        <v>5456.9999999999982</v>
      </c>
      <c r="C39" s="39">
        <f>SUM(C5:C38)</f>
        <v>1675.0099999999948</v>
      </c>
      <c r="D39" s="39">
        <f>SUM(D5:D38)</f>
        <v>-164.07999999999993</v>
      </c>
      <c r="E39" s="39">
        <f>SUM(E5:E38)</f>
        <v>-15676.860000000002</v>
      </c>
      <c r="F39" s="39">
        <f>SUM(F5:F38)</f>
        <v>-1460</v>
      </c>
      <c r="G39" s="83">
        <f>SUM(G5:G34)</f>
        <v>0</v>
      </c>
      <c r="H39" s="39">
        <f>SUM(H5:H38)</f>
        <v>-7500</v>
      </c>
      <c r="I39" s="39">
        <f>SUM(I5:I38)</f>
        <v>0</v>
      </c>
      <c r="J39" s="83"/>
      <c r="K39" s="39">
        <f>SUM(K5:K38)</f>
        <v>168.92999999999998</v>
      </c>
      <c r="L39" s="39">
        <f>SUM(L5:L38)</f>
        <v>17500</v>
      </c>
      <c r="M39" s="39">
        <f>SUM(M5:M38)</f>
        <v>0</v>
      </c>
      <c r="N39" s="146">
        <f>SUM(N5:N38)</f>
        <v>-9.0949470177292824E-12</v>
      </c>
      <c r="O39" s="153">
        <f>SUM(B39:L39)</f>
        <v>0</v>
      </c>
      <c r="P39" s="154"/>
    </row>
    <row r="40" spans="1:16" s="20" customFormat="1" x14ac:dyDescent="0.2">
      <c r="B40" s="39"/>
      <c r="C40" s="39"/>
      <c r="D40" s="39"/>
      <c r="E40" s="39"/>
      <c r="F40" s="39"/>
      <c r="G40" s="83"/>
      <c r="H40" s="39"/>
      <c r="I40" s="39"/>
      <c r="J40" s="83"/>
      <c r="K40" s="39"/>
      <c r="L40" s="39"/>
      <c r="M40" s="39"/>
      <c r="N40" s="146"/>
      <c r="O40" s="153"/>
      <c r="P40" s="154"/>
    </row>
    <row r="41" spans="1:16" x14ac:dyDescent="0.2">
      <c r="A41" s="20" t="s">
        <v>199</v>
      </c>
      <c r="B41" s="32"/>
      <c r="C41" s="32"/>
      <c r="D41" s="32"/>
      <c r="E41" s="32"/>
      <c r="G41" s="132"/>
      <c r="H41" s="32"/>
      <c r="I41" s="32"/>
      <c r="J41" s="132"/>
      <c r="K41" s="32"/>
      <c r="M41" s="32"/>
      <c r="N41" s="146"/>
      <c r="O41" s="155"/>
    </row>
    <row r="42" spans="1:16" x14ac:dyDescent="0.2">
      <c r="A42" s="70" t="s">
        <v>549</v>
      </c>
      <c r="B42" s="32"/>
      <c r="C42" s="32"/>
      <c r="D42" s="72">
        <f>-K42</f>
        <v>168.92999999999998</v>
      </c>
      <c r="E42" s="32"/>
      <c r="G42" s="132"/>
      <c r="I42" s="32"/>
      <c r="J42" s="132"/>
      <c r="K42" s="47">
        <f>-K39</f>
        <v>-168.92999999999998</v>
      </c>
      <c r="M42" s="32"/>
      <c r="N42" s="146">
        <f>+K42+L42+D42</f>
        <v>0</v>
      </c>
      <c r="O42" s="252"/>
      <c r="P42" s="238"/>
    </row>
    <row r="43" spans="1:16" x14ac:dyDescent="0.2">
      <c r="A43" s="147" t="s">
        <v>693</v>
      </c>
      <c r="B43" s="32"/>
      <c r="C43" s="32"/>
      <c r="D43" s="47">
        <v>-478.69</v>
      </c>
      <c r="E43" s="32">
        <v>-21.31</v>
      </c>
      <c r="F43" s="32">
        <f>478.69+21.31</f>
        <v>500</v>
      </c>
      <c r="G43" s="132"/>
      <c r="I43" s="32"/>
      <c r="J43" s="132"/>
      <c r="K43" s="32"/>
      <c r="M43" s="32"/>
      <c r="N43" s="146">
        <f>+K43+L43+D43+F43</f>
        <v>21.310000000000002</v>
      </c>
      <c r="O43" s="155"/>
    </row>
    <row r="44" spans="1:16" x14ac:dyDescent="0.2">
      <c r="A44" s="147" t="s">
        <v>665</v>
      </c>
      <c r="B44" s="32"/>
      <c r="C44" s="32"/>
      <c r="D44" s="47"/>
      <c r="E44" s="32"/>
      <c r="F44" s="32">
        <f>-M44</f>
        <v>-8500</v>
      </c>
      <c r="G44" s="132"/>
      <c r="I44" s="32"/>
      <c r="J44" s="132"/>
      <c r="K44" s="32"/>
      <c r="M44" s="32">
        <f>+F65</f>
        <v>8500</v>
      </c>
      <c r="N44" s="146">
        <f>+M44+K44+L44+D44+F44</f>
        <v>0</v>
      </c>
      <c r="O44" s="155"/>
    </row>
    <row r="45" spans="1:16" x14ac:dyDescent="0.2">
      <c r="B45" s="32"/>
      <c r="C45" s="32"/>
      <c r="D45" s="32"/>
      <c r="E45" s="32"/>
      <c r="G45" s="132"/>
      <c r="H45" s="32"/>
      <c r="I45" s="32"/>
      <c r="J45" s="132"/>
      <c r="K45" s="32"/>
      <c r="M45" s="32"/>
      <c r="N45" s="146">
        <f>+K45+L45-D45</f>
        <v>0</v>
      </c>
      <c r="O45" s="155"/>
    </row>
    <row r="46" spans="1:16" s="20" customFormat="1" x14ac:dyDescent="0.2">
      <c r="A46" s="20" t="s">
        <v>194</v>
      </c>
      <c r="B46" s="39">
        <f>+SUM(B39:B45)</f>
        <v>5456.9999999999982</v>
      </c>
      <c r="C46" s="39">
        <f t="shared" ref="C46:F46" si="3">+SUM(C39:C45)</f>
        <v>1675.0099999999948</v>
      </c>
      <c r="D46" s="39">
        <f>+SUM(D39:D45)</f>
        <v>-473.83999999999992</v>
      </c>
      <c r="E46" s="39">
        <f t="shared" si="3"/>
        <v>-15698.170000000002</v>
      </c>
      <c r="F46" s="39">
        <f t="shared" si="3"/>
        <v>-9460</v>
      </c>
      <c r="G46" s="83"/>
      <c r="H46" s="39">
        <f>+SUM(H39:H45)</f>
        <v>-7500</v>
      </c>
      <c r="I46" s="39">
        <f>+SUM(I39:I45)</f>
        <v>0</v>
      </c>
      <c r="J46" s="83"/>
      <c r="K46" s="39">
        <v>0</v>
      </c>
      <c r="L46" s="39">
        <f>+SUM(L39:L45)</f>
        <v>17500</v>
      </c>
      <c r="M46" s="39">
        <f>+SUM(M39:M45)</f>
        <v>8500</v>
      </c>
      <c r="N46" s="159">
        <f>+K46+L46-D46</f>
        <v>17973.84</v>
      </c>
      <c r="O46" s="153"/>
      <c r="P46" s="154"/>
    </row>
    <row r="47" spans="1:16" x14ac:dyDescent="0.2">
      <c r="B47" s="32"/>
      <c r="C47" s="32"/>
      <c r="D47" s="32"/>
      <c r="E47" s="32"/>
      <c r="G47" s="132"/>
      <c r="H47" s="32"/>
      <c r="I47" s="32"/>
      <c r="J47" s="132"/>
      <c r="K47" s="32"/>
      <c r="M47" s="32"/>
      <c r="N47" s="146"/>
      <c r="O47" s="155"/>
    </row>
    <row r="48" spans="1:16" s="20" customFormat="1" x14ac:dyDescent="0.2">
      <c r="A48" s="20" t="s">
        <v>656</v>
      </c>
      <c r="B48" s="39"/>
      <c r="C48" s="39"/>
      <c r="E48" s="111">
        <f>+SUM(H48:I48)+SUM(K48:M48)</f>
        <v>-18500</v>
      </c>
      <c r="F48" s="32"/>
      <c r="G48" s="132"/>
      <c r="H48" s="32">
        <f>-H46</f>
        <v>7500</v>
      </c>
      <c r="I48" s="32">
        <f>-I39</f>
        <v>0</v>
      </c>
      <c r="J48" s="132"/>
      <c r="K48" s="32">
        <f>-K46</f>
        <v>0</v>
      </c>
      <c r="L48" s="32">
        <f>-L46</f>
        <v>-17500</v>
      </c>
      <c r="M48" s="72">
        <f>-M46</f>
        <v>-8500</v>
      </c>
      <c r="N48" s="146">
        <f>+SUM(H48:I48)+SUM(K48:M48)-E48</f>
        <v>0</v>
      </c>
      <c r="O48" s="153"/>
      <c r="P48" s="154"/>
    </row>
    <row r="49" spans="1:16" x14ac:dyDescent="0.2">
      <c r="B49" s="32"/>
      <c r="C49" s="32"/>
      <c r="D49" s="32"/>
      <c r="E49" s="32"/>
      <c r="G49" s="132"/>
      <c r="H49" s="32"/>
      <c r="I49" s="32"/>
      <c r="J49" s="132"/>
      <c r="K49" s="32"/>
      <c r="M49" s="32"/>
      <c r="N49" s="146"/>
      <c r="O49" s="155"/>
    </row>
    <row r="50" spans="1:16" s="20" customFormat="1" x14ac:dyDescent="0.2">
      <c r="A50" s="20" t="s">
        <v>240</v>
      </c>
      <c r="B50" s="39">
        <f>+B46+B48</f>
        <v>5456.9999999999982</v>
      </c>
      <c r="C50" s="39">
        <f>+C46+C48</f>
        <v>1675.0099999999948</v>
      </c>
      <c r="D50" s="39">
        <f t="shared" ref="D50:F50" si="4">+D46+D48</f>
        <v>-473.83999999999992</v>
      </c>
      <c r="E50" s="39">
        <f>+E46-E48</f>
        <v>2801.8299999999981</v>
      </c>
      <c r="F50" s="39">
        <f t="shared" si="4"/>
        <v>-9460</v>
      </c>
      <c r="G50" s="83"/>
      <c r="H50" s="39">
        <f t="shared" ref="H50:M50" si="5">+H46+H48</f>
        <v>0</v>
      </c>
      <c r="I50" s="39">
        <f t="shared" si="5"/>
        <v>0</v>
      </c>
      <c r="J50" s="83"/>
      <c r="K50" s="39">
        <f t="shared" si="5"/>
        <v>0</v>
      </c>
      <c r="L50" s="39">
        <f t="shared" si="5"/>
        <v>0</v>
      </c>
      <c r="M50" s="39">
        <f t="shared" si="5"/>
        <v>0</v>
      </c>
      <c r="N50" s="146">
        <f>SUM(B50:F50)</f>
        <v>0</v>
      </c>
      <c r="O50" s="153"/>
      <c r="P50" s="154"/>
    </row>
    <row r="52" spans="1:16" s="133" customFormat="1" ht="15" x14ac:dyDescent="0.2">
      <c r="A52" s="147" t="s">
        <v>592</v>
      </c>
      <c r="C52" s="134"/>
      <c r="D52" s="134"/>
      <c r="F52" s="134"/>
      <c r="G52" s="135"/>
      <c r="J52" s="135"/>
      <c r="L52" s="134"/>
      <c r="O52" s="99"/>
      <c r="P52" s="99"/>
    </row>
    <row r="53" spans="1:16" x14ac:dyDescent="0.2">
      <c r="A53" s="161" t="s">
        <v>550</v>
      </c>
      <c r="B53" s="146">
        <f>-F5</f>
        <v>2420</v>
      </c>
      <c r="C53" s="147"/>
      <c r="F53" s="146"/>
    </row>
    <row r="54" spans="1:16" x14ac:dyDescent="0.2">
      <c r="A54" s="148" t="s">
        <v>450</v>
      </c>
      <c r="B54" s="146">
        <f>2*80*12</f>
        <v>1920</v>
      </c>
      <c r="C54" s="146">
        <f>-12*80</f>
        <v>-960</v>
      </c>
      <c r="D54" s="148" t="s">
        <v>653</v>
      </c>
      <c r="E54" s="148" t="s">
        <v>654</v>
      </c>
      <c r="F54" s="146">
        <f>80*12</f>
        <v>960</v>
      </c>
    </row>
    <row r="55" spans="1:16" ht="13.5" customHeight="1" x14ac:dyDescent="0.2">
      <c r="A55" s="148" t="s">
        <v>525</v>
      </c>
      <c r="B55" s="146">
        <v>500</v>
      </c>
      <c r="C55" s="160">
        <f>+D43</f>
        <v>-478.69</v>
      </c>
      <c r="D55" s="146"/>
      <c r="E55" s="147"/>
      <c r="F55" s="146">
        <f>+B55+C55</f>
        <v>21.310000000000002</v>
      </c>
    </row>
    <row r="56" spans="1:16" ht="13.5" customHeight="1" x14ac:dyDescent="0.2">
      <c r="A56" s="148" t="s">
        <v>657</v>
      </c>
      <c r="B56" s="146"/>
      <c r="C56" s="147"/>
      <c r="D56" s="146"/>
      <c r="E56" s="147"/>
      <c r="F56" s="163">
        <v>-21.31</v>
      </c>
    </row>
    <row r="57" spans="1:16" x14ac:dyDescent="0.2">
      <c r="A57" s="147"/>
      <c r="B57" s="146"/>
      <c r="C57" s="147"/>
      <c r="D57" s="146"/>
      <c r="E57" s="147" t="s">
        <v>683</v>
      </c>
      <c r="F57" s="146">
        <f>SUM(F54:F56)</f>
        <v>960</v>
      </c>
    </row>
    <row r="58" spans="1:16" x14ac:dyDescent="0.2">
      <c r="A58" s="147"/>
      <c r="B58" s="146"/>
      <c r="C58" s="147"/>
      <c r="D58" s="146"/>
      <c r="E58" s="147"/>
      <c r="F58" s="146"/>
    </row>
    <row r="59" spans="1:16" ht="15" x14ac:dyDescent="0.35">
      <c r="A59" s="147" t="s">
        <v>658</v>
      </c>
      <c r="B59" s="146"/>
      <c r="C59" s="147"/>
      <c r="D59" s="146"/>
      <c r="E59" s="147"/>
      <c r="F59" s="45"/>
    </row>
    <row r="60" spans="1:16" ht="13.5" customHeight="1" x14ac:dyDescent="0.2">
      <c r="A60" s="148" t="s">
        <v>659</v>
      </c>
      <c r="B60" s="146">
        <v>1000</v>
      </c>
      <c r="C60" s="147"/>
      <c r="D60" s="146"/>
      <c r="E60" s="147"/>
      <c r="F60" s="146">
        <f>+B60</f>
        <v>1000</v>
      </c>
    </row>
    <row r="61" spans="1:16" ht="13.5" customHeight="1" x14ac:dyDescent="0.2">
      <c r="A61" s="148" t="s">
        <v>660</v>
      </c>
      <c r="B61" s="146">
        <v>2500</v>
      </c>
      <c r="C61" s="147"/>
      <c r="D61" s="146"/>
      <c r="E61" s="147"/>
      <c r="F61" s="146">
        <f t="shared" ref="F61:F64" si="6">+B61</f>
        <v>2500</v>
      </c>
    </row>
    <row r="62" spans="1:16" ht="13.5" customHeight="1" x14ac:dyDescent="0.2">
      <c r="A62" s="148" t="s">
        <v>661</v>
      </c>
      <c r="B62" s="146">
        <v>1000</v>
      </c>
      <c r="C62" s="147"/>
      <c r="D62" s="146"/>
      <c r="E62" s="147"/>
      <c r="F62" s="146">
        <f t="shared" si="6"/>
        <v>1000</v>
      </c>
    </row>
    <row r="63" spans="1:16" x14ac:dyDescent="0.2">
      <c r="A63" s="148" t="s">
        <v>662</v>
      </c>
      <c r="B63" s="146">
        <v>3000</v>
      </c>
      <c r="C63" s="147"/>
      <c r="D63" s="146"/>
      <c r="E63" s="147"/>
      <c r="F63" s="146">
        <f t="shared" si="6"/>
        <v>3000</v>
      </c>
    </row>
    <row r="64" spans="1:16" ht="15" x14ac:dyDescent="0.35">
      <c r="A64" s="148" t="s">
        <v>663</v>
      </c>
      <c r="B64" s="146">
        <v>1000</v>
      </c>
      <c r="C64" s="146"/>
      <c r="D64" s="146"/>
      <c r="E64" s="147"/>
      <c r="F64" s="45">
        <f t="shared" si="6"/>
        <v>1000</v>
      </c>
    </row>
    <row r="65" spans="1:6" x14ac:dyDescent="0.2">
      <c r="E65" s="147" t="s">
        <v>683</v>
      </c>
      <c r="F65" s="146">
        <f>SUM(F60:F64)</f>
        <v>8500</v>
      </c>
    </row>
    <row r="66" spans="1:6" x14ac:dyDescent="0.2">
      <c r="A66" s="107" t="s">
        <v>664</v>
      </c>
      <c r="B66" s="39">
        <f>SUM(B54:B64)</f>
        <v>10920</v>
      </c>
      <c r="C66" s="39"/>
      <c r="D66" s="39"/>
      <c r="E66" s="20" t="s">
        <v>684</v>
      </c>
      <c r="F66" s="39">
        <f>+F65+F57</f>
        <v>9460</v>
      </c>
    </row>
    <row r="67" spans="1:6" x14ac:dyDescent="0.2">
      <c r="A67" s="147"/>
      <c r="B67" s="146"/>
      <c r="C67" s="146"/>
      <c r="D67" s="146"/>
      <c r="E67" s="147"/>
      <c r="F67" s="146"/>
    </row>
    <row r="68" spans="1:6" x14ac:dyDescent="0.2">
      <c r="A68" s="161" t="s">
        <v>670</v>
      </c>
      <c r="B68" s="146"/>
      <c r="C68" s="146"/>
      <c r="D68" s="146"/>
      <c r="E68" s="147"/>
      <c r="F68" s="146"/>
    </row>
    <row r="69" spans="1:6" x14ac:dyDescent="0.2">
      <c r="A69" s="148" t="s">
        <v>671</v>
      </c>
      <c r="B69" s="146">
        <v>164.08</v>
      </c>
      <c r="C69" s="32"/>
      <c r="D69" s="32"/>
    </row>
    <row r="70" spans="1:6" x14ac:dyDescent="0.2">
      <c r="A70" s="148" t="s">
        <v>672</v>
      </c>
      <c r="B70" s="160">
        <v>-168.93</v>
      </c>
      <c r="C70" s="70"/>
      <c r="D70" s="32"/>
    </row>
    <row r="71" spans="1:6" ht="15" x14ac:dyDescent="0.35">
      <c r="A71" s="148" t="s">
        <v>673</v>
      </c>
      <c r="B71" s="48">
        <f>-D43</f>
        <v>478.69</v>
      </c>
      <c r="D71" s="32"/>
    </row>
    <row r="72" spans="1:6" x14ac:dyDescent="0.2">
      <c r="A72" s="148" t="s">
        <v>674</v>
      </c>
      <c r="B72" s="47">
        <f>SUM(B69:B71)</f>
        <v>473.84000000000003</v>
      </c>
    </row>
    <row r="73" spans="1:6" x14ac:dyDescent="0.2">
      <c r="D73" s="112"/>
    </row>
    <row r="78" spans="1:6" x14ac:dyDescent="0.2">
      <c r="A78" s="147"/>
      <c r="B78" s="146"/>
      <c r="C78" s="147"/>
      <c r="D78" s="146"/>
      <c r="E78" s="147"/>
      <c r="F78" s="146"/>
    </row>
    <row r="79" spans="1:6" x14ac:dyDescent="0.2">
      <c r="A79" s="162"/>
      <c r="B79" s="70"/>
      <c r="C79" s="70"/>
      <c r="D79" s="70"/>
      <c r="E79" s="72"/>
      <c r="F79" s="72"/>
    </row>
    <row r="80" spans="1:6" x14ac:dyDescent="0.2">
      <c r="A80" s="162"/>
      <c r="B80" s="70"/>
      <c r="C80" s="70"/>
      <c r="D80" s="70"/>
      <c r="E80" s="32"/>
    </row>
    <row r="81" spans="1:6" x14ac:dyDescent="0.2">
      <c r="A81" s="148"/>
      <c r="B81" s="70"/>
      <c r="C81" s="70"/>
      <c r="D81" s="70"/>
      <c r="E81" s="32"/>
    </row>
    <row r="82" spans="1:6" x14ac:dyDescent="0.2">
      <c r="A82" s="162"/>
      <c r="B82" s="70"/>
      <c r="C82" s="70"/>
      <c r="D82" s="70"/>
      <c r="E82" s="139"/>
      <c r="F82" s="151"/>
    </row>
    <row r="83" spans="1:6" x14ac:dyDescent="0.2">
      <c r="A83" s="162"/>
      <c r="B83" s="70"/>
      <c r="C83" s="70"/>
      <c r="D83" s="70"/>
      <c r="E83" s="72"/>
      <c r="F83" s="146"/>
    </row>
    <row r="84" spans="1:6" ht="15" x14ac:dyDescent="0.35">
      <c r="A84" s="162"/>
      <c r="B84" s="147"/>
      <c r="C84" s="147"/>
      <c r="D84" s="147"/>
      <c r="E84" s="72"/>
      <c r="F84" s="45"/>
    </row>
    <row r="85" spans="1:6" x14ac:dyDescent="0.2">
      <c r="A85" s="147"/>
      <c r="B85" s="146"/>
      <c r="C85" s="147"/>
      <c r="D85" s="146"/>
      <c r="E85" s="147"/>
      <c r="F85" s="146"/>
    </row>
  </sheetData>
  <mergeCells count="1">
    <mergeCell ref="O42:P42"/>
  </mergeCells>
  <printOptions gridLines="1"/>
  <pageMargins left="0.74803149606299213" right="0.74803149606299213" top="0.98425196850393704" bottom="0.98425196850393704" header="0.51181102362204722" footer="0.51181102362204722"/>
  <pageSetup paperSize="9" scale="53" orientation="portrait" r:id="rId1"/>
  <headerFooter alignWithMargins="0">
    <oddFooter>&amp;L&amp;F, &amp;A&amp;R&amp;D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0C8E-81EF-42C0-B24C-5DF4BCA6DCC1}">
  <sheetPr>
    <pageSetUpPr fitToPage="1"/>
  </sheetPr>
  <dimension ref="A1:X30"/>
  <sheetViews>
    <sheetView zoomScaleNormal="100" workbookViewId="0">
      <selection activeCell="H31" sqref="H31"/>
    </sheetView>
  </sheetViews>
  <sheetFormatPr defaultColWidth="8.85546875" defaultRowHeight="12.75" x14ac:dyDescent="0.2"/>
  <cols>
    <col min="1" max="1" width="6.42578125" customWidth="1"/>
    <col min="3" max="3" width="40.28515625" customWidth="1"/>
    <col min="4" max="4" width="11.42578125" bestFit="1" customWidth="1"/>
    <col min="5" max="5" width="8.140625" bestFit="1" customWidth="1"/>
    <col min="6" max="6" width="2.7109375" customWidth="1"/>
    <col min="7" max="7" width="9.140625" style="4" customWidth="1"/>
    <col min="9" max="9" width="2.1406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 min="22" max="22" width="9.140625" style="4" customWidth="1"/>
    <col min="24" max="24" width="2.42578125" customWidth="1"/>
  </cols>
  <sheetData>
    <row r="1" spans="1:24" ht="20.25" x14ac:dyDescent="0.3">
      <c r="A1" s="10" t="s">
        <v>69</v>
      </c>
    </row>
    <row r="3" spans="1:24" s="109" customFormat="1" x14ac:dyDescent="0.2">
      <c r="D3" s="247">
        <v>44196</v>
      </c>
      <c r="E3" s="247"/>
      <c r="G3" s="247">
        <v>43830</v>
      </c>
      <c r="H3" s="247"/>
      <c r="J3" s="247">
        <v>43465</v>
      </c>
      <c r="K3" s="247"/>
      <c r="M3" s="247">
        <v>43100</v>
      </c>
      <c r="N3" s="247"/>
      <c r="P3" s="247">
        <v>42735</v>
      </c>
      <c r="Q3" s="247"/>
      <c r="S3" s="247">
        <v>42369</v>
      </c>
      <c r="T3" s="247"/>
      <c r="V3" s="247">
        <v>42004</v>
      </c>
      <c r="W3" s="247"/>
    </row>
    <row r="4" spans="1:24" x14ac:dyDescent="0.2">
      <c r="D4" s="248" t="s">
        <v>73</v>
      </c>
      <c r="E4" s="248"/>
      <c r="G4" s="248" t="s">
        <v>73</v>
      </c>
      <c r="H4" s="248"/>
      <c r="J4" s="248" t="s">
        <v>73</v>
      </c>
      <c r="K4" s="248"/>
      <c r="M4" s="248" t="s">
        <v>73</v>
      </c>
      <c r="N4" s="248"/>
      <c r="P4" s="248" t="s">
        <v>73</v>
      </c>
      <c r="Q4" s="248"/>
      <c r="S4" s="248" t="s">
        <v>73</v>
      </c>
      <c r="T4" s="248"/>
      <c r="V4" s="248" t="s">
        <v>73</v>
      </c>
      <c r="W4" s="248"/>
    </row>
    <row r="5" spans="1:24" ht="15.75" x14ac:dyDescent="0.25">
      <c r="A5" s="2" t="s">
        <v>21</v>
      </c>
      <c r="D5" s="4"/>
      <c r="E5" s="8"/>
      <c r="H5" s="8"/>
      <c r="K5" s="8"/>
      <c r="N5" s="8"/>
      <c r="Q5" s="8"/>
      <c r="T5" s="8"/>
      <c r="W5" s="8"/>
    </row>
    <row r="6" spans="1:24" s="12" customFormat="1" ht="19.5" customHeight="1" x14ac:dyDescent="0.2">
      <c r="A6" s="11" t="s">
        <v>23</v>
      </c>
      <c r="D6" s="68"/>
      <c r="E6" s="14"/>
      <c r="G6" s="68"/>
      <c r="H6" s="14"/>
      <c r="J6" s="68"/>
      <c r="K6" s="130"/>
      <c r="M6" s="68"/>
      <c r="N6" s="130"/>
      <c r="P6" s="68"/>
      <c r="Q6" s="130"/>
      <c r="S6" s="68"/>
      <c r="T6" s="130"/>
      <c r="V6" s="68"/>
      <c r="W6" s="130"/>
    </row>
    <row r="7" spans="1:24" x14ac:dyDescent="0.2">
      <c r="A7" t="s">
        <v>25</v>
      </c>
      <c r="D7" s="4"/>
      <c r="E7" s="8">
        <v>0</v>
      </c>
      <c r="H7" s="8">
        <v>0</v>
      </c>
      <c r="K7" s="8">
        <v>0</v>
      </c>
      <c r="N7" s="8">
        <v>0</v>
      </c>
      <c r="Q7" s="8">
        <v>0</v>
      </c>
      <c r="T7" s="8">
        <v>0</v>
      </c>
      <c r="W7" s="8">
        <v>0</v>
      </c>
    </row>
    <row r="8" spans="1:24" x14ac:dyDescent="0.2">
      <c r="D8" s="4"/>
      <c r="E8" s="8"/>
      <c r="H8" s="8"/>
      <c r="K8" s="8"/>
      <c r="N8" s="8"/>
      <c r="Q8" s="8"/>
      <c r="T8" s="8"/>
      <c r="W8" s="8"/>
    </row>
    <row r="9" spans="1:24" s="12" customFormat="1" ht="19.5" customHeight="1" x14ac:dyDescent="0.2">
      <c r="A9" s="11" t="s">
        <v>24</v>
      </c>
      <c r="D9" s="68"/>
      <c r="E9" s="14"/>
      <c r="G9" s="68"/>
      <c r="H9" s="14"/>
      <c r="J9" s="68"/>
      <c r="K9" s="130"/>
      <c r="M9" s="68"/>
      <c r="N9" s="130"/>
      <c r="P9" s="68"/>
      <c r="Q9" s="130"/>
      <c r="S9" s="68"/>
      <c r="T9" s="130"/>
      <c r="V9" s="68"/>
      <c r="W9" s="130"/>
    </row>
    <row r="10" spans="1:24" x14ac:dyDescent="0.2">
      <c r="A10" t="s">
        <v>26</v>
      </c>
      <c r="D10" s="4" t="str">
        <f>'kolommenbalans 2020'!A50</f>
        <v>eind balans</v>
      </c>
      <c r="E10" s="15"/>
      <c r="G10" s="4">
        <v>-164.07999999999993</v>
      </c>
      <c r="H10" s="15"/>
      <c r="J10" s="4">
        <v>200</v>
      </c>
      <c r="K10" s="15"/>
      <c r="M10" s="4">
        <v>1894.85</v>
      </c>
      <c r="N10" s="15"/>
      <c r="P10" s="4">
        <v>167.54</v>
      </c>
      <c r="Q10" s="15"/>
      <c r="S10" s="4">
        <v>163.28</v>
      </c>
      <c r="T10" s="15"/>
      <c r="V10" s="4">
        <v>112.35</v>
      </c>
      <c r="W10" s="15"/>
    </row>
    <row r="11" spans="1:24" ht="13.5" thickBot="1" x14ac:dyDescent="0.25">
      <c r="A11" s="70" t="s">
        <v>427</v>
      </c>
      <c r="D11" s="9" t="e">
        <f>+'kolommenbalans 2020'!#REF!+'kolommenbalans 2020'!#REF!</f>
        <v>#REF!</v>
      </c>
      <c r="E11" s="8"/>
      <c r="G11" s="9">
        <v>18260.939999999991</v>
      </c>
      <c r="H11" s="8"/>
      <c r="J11" s="9">
        <v>22357</v>
      </c>
      <c r="K11" s="8"/>
      <c r="M11" s="9">
        <v>21340.339999999997</v>
      </c>
      <c r="N11" s="8"/>
      <c r="P11" s="9">
        <v>19843.679999999993</v>
      </c>
      <c r="Q11" s="8"/>
      <c r="S11" s="4">
        <v>21437.119999999995</v>
      </c>
      <c r="T11" s="8"/>
      <c r="V11" s="9">
        <v>18681.909999999996</v>
      </c>
      <c r="W11" s="8"/>
    </row>
    <row r="12" spans="1:24" ht="13.5" thickBot="1" x14ac:dyDescent="0.25">
      <c r="D12" s="4"/>
      <c r="E12" s="16" t="e">
        <f>+D11+D10</f>
        <v>#REF!</v>
      </c>
      <c r="H12" s="16">
        <v>18096.859999999993</v>
      </c>
      <c r="K12" s="16">
        <f>+J11+J10</f>
        <v>22557</v>
      </c>
      <c r="N12" s="16">
        <v>23235.189999999995</v>
      </c>
      <c r="Q12" s="16">
        <v>20011.219999999994</v>
      </c>
      <c r="T12" s="16">
        <v>21600.399999999994</v>
      </c>
      <c r="W12" s="16">
        <v>18794.259999999995</v>
      </c>
    </row>
    <row r="13" spans="1:24" ht="19.5" customHeight="1" x14ac:dyDescent="0.2">
      <c r="A13" s="3"/>
      <c r="C13" s="29" t="s">
        <v>55</v>
      </c>
      <c r="D13" s="30"/>
      <c r="E13" s="18" t="e">
        <f>+E12+E7</f>
        <v>#REF!</v>
      </c>
      <c r="F13" s="29"/>
      <c r="G13" s="30"/>
      <c r="H13" s="18">
        <v>18096.859999999993</v>
      </c>
      <c r="I13" s="29"/>
      <c r="J13" s="30"/>
      <c r="K13" s="18">
        <f>+K12+K7</f>
        <v>22557</v>
      </c>
      <c r="L13" s="29"/>
      <c r="M13" s="30"/>
      <c r="N13" s="18">
        <v>23235.189999999995</v>
      </c>
      <c r="O13" s="29"/>
      <c r="P13" s="30"/>
      <c r="Q13" s="18">
        <v>20011.219999999994</v>
      </c>
      <c r="R13" s="29"/>
      <c r="S13" s="30"/>
      <c r="T13" s="18">
        <v>21600.399999999994</v>
      </c>
      <c r="U13" s="29"/>
      <c r="V13" s="30"/>
      <c r="W13" s="18">
        <v>18794.259999999995</v>
      </c>
      <c r="X13" s="29"/>
    </row>
    <row r="14" spans="1:24" x14ac:dyDescent="0.2">
      <c r="D14" s="4"/>
      <c r="E14" s="8"/>
      <c r="H14" s="8"/>
      <c r="K14" s="8"/>
      <c r="N14" s="8"/>
      <c r="Q14" s="8"/>
      <c r="T14" s="8"/>
      <c r="W14" s="8"/>
    </row>
    <row r="15" spans="1:24" ht="15.75" x14ac:dyDescent="0.25">
      <c r="A15" s="2" t="s">
        <v>22</v>
      </c>
      <c r="D15" s="4"/>
      <c r="E15" s="8"/>
      <c r="H15" s="8"/>
      <c r="K15" s="8"/>
      <c r="N15" s="8"/>
      <c r="Q15" s="8"/>
      <c r="T15" s="8"/>
      <c r="W15" s="8"/>
    </row>
    <row r="16" spans="1:24" ht="19.5" customHeight="1" x14ac:dyDescent="0.2">
      <c r="A16" s="11" t="s">
        <v>29</v>
      </c>
      <c r="D16" s="4"/>
      <c r="E16" s="8"/>
      <c r="H16" s="8"/>
      <c r="K16" s="8"/>
      <c r="N16" s="8"/>
      <c r="Q16" s="8"/>
      <c r="T16" s="8"/>
      <c r="W16" s="8"/>
    </row>
    <row r="17" spans="1:24" x14ac:dyDescent="0.2">
      <c r="A17" t="s">
        <v>28</v>
      </c>
      <c r="D17" s="5">
        <f>-'kolommenbalans 2020'!B50</f>
        <v>-5456.9999999999982</v>
      </c>
      <c r="E17" s="8"/>
      <c r="G17" s="5">
        <v>15676.860000000002</v>
      </c>
      <c r="H17" s="8"/>
      <c r="J17" s="5">
        <v>4677</v>
      </c>
      <c r="K17" s="8"/>
      <c r="M17" s="5">
        <v>12645.189999999995</v>
      </c>
      <c r="N17" s="8"/>
      <c r="P17" s="5">
        <v>4230.5700000000015</v>
      </c>
      <c r="Q17" s="8"/>
      <c r="S17" s="5">
        <v>14848.090000000002</v>
      </c>
      <c r="T17" s="8"/>
      <c r="V17" s="5">
        <v>12794.26</v>
      </c>
      <c r="W17" s="8"/>
    </row>
    <row r="18" spans="1:24" x14ac:dyDescent="0.2">
      <c r="A18" s="70" t="s">
        <v>428</v>
      </c>
      <c r="D18" s="5">
        <f>-'kolommenbalans 2020'!C50</f>
        <v>-1675.0099999999948</v>
      </c>
      <c r="E18" s="8"/>
      <c r="G18" s="5">
        <v>2420</v>
      </c>
      <c r="H18" s="8"/>
      <c r="J18" s="5">
        <v>17880</v>
      </c>
      <c r="K18" s="8"/>
      <c r="M18" s="5">
        <v>10590</v>
      </c>
      <c r="N18" s="8"/>
      <c r="P18" s="5">
        <v>15780.65</v>
      </c>
      <c r="Q18" s="8"/>
      <c r="S18" s="5">
        <v>6752.3099999999995</v>
      </c>
      <c r="T18" s="8"/>
      <c r="V18" s="5">
        <v>6000</v>
      </c>
      <c r="W18" s="8"/>
    </row>
    <row r="19" spans="1:24" ht="13.5" thickBot="1" x14ac:dyDescent="0.25">
      <c r="A19" t="s">
        <v>17</v>
      </c>
      <c r="D19" s="9"/>
      <c r="E19" s="8"/>
      <c r="G19" s="9"/>
      <c r="H19" s="8"/>
      <c r="J19" s="9">
        <v>0</v>
      </c>
      <c r="K19" s="8"/>
      <c r="M19" s="131">
        <v>0</v>
      </c>
      <c r="N19" s="8"/>
      <c r="P19" s="9">
        <v>0</v>
      </c>
      <c r="Q19" s="8"/>
      <c r="S19" s="9">
        <v>0</v>
      </c>
      <c r="T19" s="8"/>
      <c r="V19" s="9">
        <v>0</v>
      </c>
      <c r="W19" s="8"/>
    </row>
    <row r="20" spans="1:24" s="12" customFormat="1" ht="13.5" customHeight="1" x14ac:dyDescent="0.2">
      <c r="D20" s="68"/>
      <c r="E20" s="49">
        <f>+D19+D17+D18</f>
        <v>-7132.0099999999929</v>
      </c>
      <c r="G20" s="68"/>
      <c r="H20" s="49">
        <v>18096.86</v>
      </c>
      <c r="J20" s="68"/>
      <c r="K20" s="8">
        <f>+J19+J17+J18</f>
        <v>22557</v>
      </c>
      <c r="M20" s="68"/>
      <c r="N20" s="8">
        <v>23235.189999999995</v>
      </c>
      <c r="P20" s="68"/>
      <c r="Q20" s="8">
        <v>20011.22</v>
      </c>
      <c r="S20" s="68"/>
      <c r="T20" s="8">
        <v>21600.400000000001</v>
      </c>
      <c r="V20" s="68"/>
      <c r="W20" s="8">
        <v>18794.260000000002</v>
      </c>
    </row>
    <row r="21" spans="1:24" x14ac:dyDescent="0.2">
      <c r="D21" s="4"/>
      <c r="E21" s="8"/>
      <c r="H21" s="8"/>
      <c r="K21" s="8"/>
      <c r="N21" s="8"/>
      <c r="Q21" s="8"/>
      <c r="T21" s="8"/>
      <c r="W21" s="8"/>
    </row>
    <row r="22" spans="1:24" s="12" customFormat="1" ht="13.5" thickBot="1" x14ac:dyDescent="0.25">
      <c r="A22" s="11" t="s">
        <v>30</v>
      </c>
      <c r="E22" s="16">
        <v>0</v>
      </c>
      <c r="H22" s="16">
        <v>0</v>
      </c>
      <c r="K22" s="16">
        <v>0</v>
      </c>
      <c r="N22" s="16">
        <v>0</v>
      </c>
      <c r="Q22" s="16">
        <v>0</v>
      </c>
      <c r="T22" s="16">
        <v>0</v>
      </c>
      <c r="W22" s="16">
        <v>0</v>
      </c>
    </row>
    <row r="23" spans="1:24" ht="19.5" customHeight="1" x14ac:dyDescent="0.2">
      <c r="C23" s="29" t="s">
        <v>55</v>
      </c>
      <c r="D23" s="30"/>
      <c r="E23" s="18">
        <f>+E20</f>
        <v>-7132.0099999999929</v>
      </c>
      <c r="F23" s="29"/>
      <c r="G23" s="30"/>
      <c r="H23" s="18">
        <v>18096.86</v>
      </c>
      <c r="I23" s="29"/>
      <c r="J23" s="30"/>
      <c r="K23" s="18">
        <f>+K20</f>
        <v>22557</v>
      </c>
      <c r="L23" s="29"/>
      <c r="M23" s="30"/>
      <c r="N23" s="18">
        <v>23235.189999999995</v>
      </c>
      <c r="O23" s="29"/>
      <c r="P23" s="30"/>
      <c r="Q23" s="18">
        <v>20011.22</v>
      </c>
      <c r="R23" s="29"/>
      <c r="S23" s="30"/>
      <c r="T23" s="18">
        <v>21600.400000000001</v>
      </c>
      <c r="U23" s="29"/>
      <c r="V23" s="30"/>
      <c r="W23" s="18">
        <v>18794.260000000002</v>
      </c>
      <c r="X23" s="29"/>
    </row>
    <row r="24" spans="1:24" ht="19.5" customHeight="1" x14ac:dyDescent="0.2">
      <c r="D24" s="4"/>
      <c r="E24" s="18"/>
      <c r="H24" s="18"/>
      <c r="K24" s="18"/>
      <c r="N24" s="18"/>
      <c r="Q24" s="18"/>
      <c r="T24" s="18"/>
      <c r="W24" s="18"/>
    </row>
    <row r="25" spans="1:24" ht="19.5" customHeight="1" x14ac:dyDescent="0.2">
      <c r="D25" s="4"/>
      <c r="E25" s="18"/>
      <c r="H25" s="18"/>
      <c r="K25" s="18"/>
      <c r="N25" s="18"/>
      <c r="Q25" s="18"/>
      <c r="T25" s="18"/>
      <c r="W25" s="18"/>
    </row>
    <row r="27" spans="1:24" x14ac:dyDescent="0.2">
      <c r="H27" s="52"/>
      <c r="K27" s="52"/>
      <c r="N27" s="52"/>
      <c r="Q27" s="52"/>
      <c r="T27" s="52"/>
      <c r="W27" s="52"/>
    </row>
    <row r="28" spans="1:24" x14ac:dyDescent="0.2">
      <c r="A28" t="s">
        <v>31</v>
      </c>
      <c r="C28" s="70" t="s">
        <v>581</v>
      </c>
      <c r="D28" s="70"/>
      <c r="E28" s="70"/>
      <c r="F28" s="70"/>
      <c r="I28" s="70"/>
    </row>
    <row r="29" spans="1:24" x14ac:dyDescent="0.2">
      <c r="A29" s="70" t="s">
        <v>470</v>
      </c>
    </row>
    <row r="30" spans="1:24" x14ac:dyDescent="0.2">
      <c r="A30" t="s">
        <v>471</v>
      </c>
    </row>
  </sheetData>
  <mergeCells count="14">
    <mergeCell ref="P4:Q4"/>
    <mergeCell ref="S4:T4"/>
    <mergeCell ref="V4:W4"/>
    <mergeCell ref="G3:H3"/>
    <mergeCell ref="J3:K3"/>
    <mergeCell ref="M3:N3"/>
    <mergeCell ref="P3:Q3"/>
    <mergeCell ref="S3:T3"/>
    <mergeCell ref="V3:W3"/>
    <mergeCell ref="D3:E3"/>
    <mergeCell ref="D4:E4"/>
    <mergeCell ref="G4:H4"/>
    <mergeCell ref="J4:K4"/>
    <mergeCell ref="M4:N4"/>
  </mergeCells>
  <pageMargins left="0.75" right="0.5" top="0.98" bottom="0.98" header="0.51" footer="0.51"/>
  <pageSetup scale="70" orientation="landscape" r:id="rId1"/>
  <headerFooter alignWithMargins="0">
    <oddFooter>&amp;L&amp;F, &amp;A&amp;R&amp;D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20A36-C8D7-49D1-AD0A-E5CA1F7A3685}">
  <dimension ref="A1:D17"/>
  <sheetViews>
    <sheetView zoomScale="107" zoomScaleNormal="100" workbookViewId="0">
      <selection activeCell="C11" sqref="C11"/>
    </sheetView>
  </sheetViews>
  <sheetFormatPr defaultColWidth="8.85546875" defaultRowHeight="12.75" x14ac:dyDescent="0.2"/>
  <cols>
    <col min="1" max="1" width="9.28515625" customWidth="1"/>
    <col min="2" max="2" width="62.140625" customWidth="1"/>
    <col min="3" max="3" width="9.7109375" style="44" bestFit="1" customWidth="1"/>
    <col min="6" max="6" width="9.28515625" bestFit="1" customWidth="1"/>
  </cols>
  <sheetData>
    <row r="1" spans="1:4" s="104" customFormat="1" ht="15.75" x14ac:dyDescent="0.25">
      <c r="A1" s="104" t="s">
        <v>641</v>
      </c>
      <c r="C1" s="105"/>
    </row>
    <row r="3" spans="1:4" x14ac:dyDescent="0.2">
      <c r="A3" s="20" t="s">
        <v>584</v>
      </c>
      <c r="C3" s="33" t="s">
        <v>73</v>
      </c>
    </row>
    <row r="4" spans="1:4" x14ac:dyDescent="0.2">
      <c r="A4" s="20" t="s">
        <v>685</v>
      </c>
      <c r="C4" s="39">
        <v>-164.07999999999993</v>
      </c>
    </row>
    <row r="5" spans="1:4" x14ac:dyDescent="0.2">
      <c r="A5" s="147" t="s">
        <v>666</v>
      </c>
      <c r="C5" s="44">
        <f>+'kolommenbalans 2020'!K8+'kolommenbalans 2020'!K10+'kolommenbalans 2020'!K12+'kolommenbalans 2020'!K14+'kolommenbalans 2020'!K16+'kolommenbalans 2020'!K18+'kolommenbalans 2020'!K20+'kolommenbalans 2020'!K25+'kolommenbalans 2020'!K27+'kolommenbalans 2020'!K30+'kolommenbalans 2020'!K35+'kolommenbalans 2020'!K37</f>
        <v>109.11</v>
      </c>
    </row>
    <row r="6" spans="1:4" x14ac:dyDescent="0.2">
      <c r="A6" s="147" t="s">
        <v>686</v>
      </c>
      <c r="C6" s="44">
        <f>+'kolommenbalans 2020'!K7</f>
        <v>59.82</v>
      </c>
    </row>
    <row r="7" spans="1:4" x14ac:dyDescent="0.2">
      <c r="A7" t="s">
        <v>77</v>
      </c>
    </row>
    <row r="8" spans="1:4" s="20" customFormat="1" ht="11.25" customHeight="1" x14ac:dyDescent="0.2">
      <c r="A8" s="20" t="s">
        <v>667</v>
      </c>
      <c r="C8" s="39">
        <f>SUM(C4:C7)</f>
        <v>4.8500000000000725</v>
      </c>
    </row>
    <row r="9" spans="1:4" x14ac:dyDescent="0.2">
      <c r="A9" s="147" t="s">
        <v>668</v>
      </c>
      <c r="C9" s="44">
        <f>+'kolommenbalans 2020'!D43</f>
        <v>-478.69</v>
      </c>
    </row>
    <row r="10" spans="1:4" x14ac:dyDescent="0.2">
      <c r="A10" s="20" t="s">
        <v>596</v>
      </c>
    </row>
    <row r="11" spans="1:4" x14ac:dyDescent="0.2">
      <c r="A11" s="20" t="s">
        <v>669</v>
      </c>
      <c r="C11" s="39">
        <f>+C9+C8</f>
        <v>-473.83999999999992</v>
      </c>
      <c r="D11" s="149"/>
    </row>
    <row r="12" spans="1:4" s="20" customFormat="1" x14ac:dyDescent="0.2">
      <c r="C12" s="39"/>
    </row>
    <row r="13" spans="1:4" ht="0.95" customHeight="1" x14ac:dyDescent="0.2">
      <c r="A13" s="70"/>
      <c r="C13" s="150"/>
      <c r="D13" s="70"/>
    </row>
    <row r="14" spans="1:4" x14ac:dyDescent="0.2">
      <c r="B14" s="70"/>
    </row>
    <row r="15" spans="1:4" x14ac:dyDescent="0.2">
      <c r="B15" s="70"/>
      <c r="C15" s="39"/>
    </row>
    <row r="16" spans="1:4" x14ac:dyDescent="0.2">
      <c r="A16" s="70"/>
    </row>
    <row r="17" spans="1:1" x14ac:dyDescent="0.2">
      <c r="A17" s="70"/>
    </row>
  </sheetData>
  <pageMargins left="0.74803149606299213" right="0.74803149606299213" top="0.98425196850393704" bottom="0.98425196850393704" header="0.51181102362204722" footer="0.51181102362204722"/>
  <pageSetup orientation="portrait" r:id="rId1"/>
  <headerFooter alignWithMargins="0">
    <oddFooter>&amp;L&amp;F, &amp;A&amp;R&amp;D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0"/>
  <sheetViews>
    <sheetView topLeftCell="A16" zoomScaleNormal="100" workbookViewId="0">
      <selection activeCell="D10" sqref="D10"/>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 min="22" max="22" width="9.140625" style="4" customWidth="1"/>
    <col min="24" max="24" width="2.42578125" customWidth="1"/>
    <col min="25" max="25" width="9.140625" style="4" customWidth="1"/>
    <col min="27" max="27" width="2.42578125" customWidth="1"/>
    <col min="28" max="28" width="9.140625" style="4" customWidth="1"/>
    <col min="30" max="30" width="2.42578125" customWidth="1"/>
    <col min="33" max="33" width="2.42578125" customWidth="1"/>
  </cols>
  <sheetData>
    <row r="1" spans="1:35" ht="20.25" x14ac:dyDescent="0.3">
      <c r="A1" s="10" t="s">
        <v>69</v>
      </c>
    </row>
    <row r="3" spans="1:35" s="109" customFormat="1" x14ac:dyDescent="0.2">
      <c r="D3" s="247">
        <v>43830</v>
      </c>
      <c r="E3" s="247"/>
      <c r="G3" s="247">
        <v>43465</v>
      </c>
      <c r="H3" s="247"/>
      <c r="J3" s="247">
        <v>43100</v>
      </c>
      <c r="K3" s="247"/>
      <c r="M3" s="247">
        <v>42735</v>
      </c>
      <c r="N3" s="247"/>
      <c r="P3" s="247">
        <v>42369</v>
      </c>
      <c r="Q3" s="247"/>
      <c r="S3" s="247">
        <v>42004</v>
      </c>
      <c r="T3" s="247"/>
      <c r="V3" s="247">
        <v>41639</v>
      </c>
      <c r="W3" s="247"/>
      <c r="Y3" s="247">
        <v>41274</v>
      </c>
      <c r="Z3" s="247"/>
      <c r="AB3" s="247">
        <v>40908</v>
      </c>
      <c r="AC3" s="247"/>
      <c r="AE3" s="247">
        <v>40543</v>
      </c>
      <c r="AF3" s="247"/>
      <c r="AG3" s="110"/>
      <c r="AH3" s="247">
        <v>40178</v>
      </c>
      <c r="AI3" s="247"/>
    </row>
    <row r="4" spans="1:35" x14ac:dyDescent="0.2">
      <c r="D4" s="248" t="s">
        <v>73</v>
      </c>
      <c r="E4" s="248"/>
      <c r="G4" s="248" t="s">
        <v>73</v>
      </c>
      <c r="H4" s="248"/>
      <c r="J4" s="248" t="s">
        <v>73</v>
      </c>
      <c r="K4" s="248"/>
      <c r="M4" s="248" t="s">
        <v>73</v>
      </c>
      <c r="N4" s="248"/>
      <c r="P4" s="248" t="s">
        <v>73</v>
      </c>
      <c r="Q4" s="248"/>
      <c r="S4" s="248" t="s">
        <v>73</v>
      </c>
      <c r="T4" s="248"/>
      <c r="V4" s="248" t="s">
        <v>73</v>
      </c>
      <c r="W4" s="248"/>
      <c r="Y4" s="248" t="s">
        <v>73</v>
      </c>
      <c r="Z4" s="248"/>
      <c r="AB4" s="248" t="s">
        <v>73</v>
      </c>
      <c r="AC4" s="248"/>
      <c r="AE4" s="248" t="s">
        <v>73</v>
      </c>
      <c r="AF4" s="248"/>
      <c r="AG4" s="35"/>
      <c r="AH4" s="248" t="s">
        <v>73</v>
      </c>
      <c r="AI4" s="248"/>
    </row>
    <row r="5" spans="1:35" ht="15.75" x14ac:dyDescent="0.25">
      <c r="A5" s="2" t="s">
        <v>21</v>
      </c>
      <c r="E5" s="8"/>
      <c r="H5" s="8"/>
      <c r="K5" s="8"/>
      <c r="N5" s="8"/>
      <c r="Q5" s="8"/>
      <c r="T5" s="8"/>
      <c r="W5" s="8"/>
      <c r="Z5" s="8"/>
      <c r="AC5" s="8"/>
      <c r="AE5" s="5"/>
      <c r="AF5" s="8"/>
      <c r="AG5" s="7"/>
      <c r="AH5" s="5"/>
      <c r="AI5" s="8"/>
    </row>
    <row r="6" spans="1:35" s="12" customFormat="1" ht="19.5" customHeight="1" x14ac:dyDescent="0.2">
      <c r="A6" s="11" t="s">
        <v>23</v>
      </c>
      <c r="D6" s="68"/>
      <c r="E6" s="14"/>
      <c r="G6" s="68"/>
      <c r="H6" s="14"/>
      <c r="J6" s="68"/>
      <c r="K6" s="14"/>
      <c r="M6" s="68"/>
      <c r="N6" s="14"/>
      <c r="P6" s="68"/>
      <c r="Q6" s="14"/>
      <c r="S6" s="68"/>
      <c r="T6" s="14"/>
      <c r="V6" s="68"/>
      <c r="W6" s="14"/>
      <c r="Y6" s="68"/>
      <c r="Z6" s="14"/>
      <c r="AB6" s="68"/>
      <c r="AC6" s="14"/>
      <c r="AE6" s="13"/>
      <c r="AF6" s="14"/>
      <c r="AG6" s="36"/>
      <c r="AH6" s="13"/>
      <c r="AI6" s="14"/>
    </row>
    <row r="7" spans="1:35" x14ac:dyDescent="0.2">
      <c r="A7" t="s">
        <v>25</v>
      </c>
      <c r="E7" s="8">
        <v>0</v>
      </c>
      <c r="H7" s="8">
        <v>0</v>
      </c>
      <c r="K7" s="8">
        <v>0</v>
      </c>
      <c r="N7" s="8">
        <v>0</v>
      </c>
      <c r="Q7" s="8">
        <v>0</v>
      </c>
      <c r="T7" s="8">
        <v>0</v>
      </c>
      <c r="W7" s="8">
        <v>0</v>
      </c>
      <c r="Z7" s="8">
        <v>0</v>
      </c>
      <c r="AC7" s="8">
        <v>0</v>
      </c>
      <c r="AE7" s="5"/>
      <c r="AF7" s="8">
        <v>0</v>
      </c>
      <c r="AG7" s="7"/>
      <c r="AH7" s="5"/>
      <c r="AI7" s="8">
        <v>0</v>
      </c>
    </row>
    <row r="8" spans="1:35" x14ac:dyDescent="0.2">
      <c r="E8" s="8"/>
      <c r="H8" s="8"/>
      <c r="K8" s="8"/>
      <c r="N8" s="8"/>
      <c r="Q8" s="8"/>
      <c r="T8" s="8"/>
      <c r="W8" s="8"/>
      <c r="Z8" s="8"/>
      <c r="AC8" s="8"/>
      <c r="AE8" s="5"/>
      <c r="AF8" s="8"/>
      <c r="AG8" s="7"/>
      <c r="AH8" s="5"/>
      <c r="AI8" s="8"/>
    </row>
    <row r="9" spans="1:35" s="12" customFormat="1" ht="19.5" customHeight="1" x14ac:dyDescent="0.2">
      <c r="A9" s="11" t="s">
        <v>24</v>
      </c>
      <c r="D9" s="68"/>
      <c r="E9" s="14"/>
      <c r="G9" s="68"/>
      <c r="H9" s="14"/>
      <c r="J9" s="68"/>
      <c r="K9" s="14"/>
      <c r="M9" s="68"/>
      <c r="N9" s="14"/>
      <c r="P9" s="68"/>
      <c r="Q9" s="14"/>
      <c r="S9" s="68"/>
      <c r="T9" s="14"/>
      <c r="V9" s="68"/>
      <c r="W9" s="14"/>
      <c r="Y9" s="68"/>
      <c r="Z9" s="14"/>
      <c r="AB9" s="68"/>
      <c r="AC9" s="14"/>
      <c r="AE9" s="13"/>
      <c r="AF9" s="14"/>
      <c r="AG9" s="36"/>
      <c r="AH9" s="13"/>
      <c r="AI9" s="14"/>
    </row>
    <row r="10" spans="1:35" x14ac:dyDescent="0.2">
      <c r="A10" t="s">
        <v>26</v>
      </c>
      <c r="D10" s="4">
        <f>'kolommenbalans 2019'!D55</f>
        <v>-164.07999999999993</v>
      </c>
      <c r="E10" s="15"/>
      <c r="G10" s="4">
        <f>+'kolommenbalans 2018'!D46</f>
        <v>199.92000000000002</v>
      </c>
      <c r="H10" s="15"/>
      <c r="J10" s="4">
        <v>1894.85</v>
      </c>
      <c r="K10" s="15"/>
      <c r="M10" s="4">
        <f>+'balans 2016'!D10</f>
        <v>167.54</v>
      </c>
      <c r="N10" s="15"/>
      <c r="P10" s="4">
        <f>+'balans 2015'!D10</f>
        <v>163.28</v>
      </c>
      <c r="Q10" s="15"/>
      <c r="S10" s="4">
        <f>+'kolommenbalans 2014'!E29</f>
        <v>112.35</v>
      </c>
      <c r="T10" s="15"/>
      <c r="V10" s="4">
        <v>99.669999999999987</v>
      </c>
      <c r="W10" s="15"/>
      <c r="Y10" s="4">
        <v>62.07</v>
      </c>
      <c r="Z10" s="15"/>
      <c r="AB10" s="4">
        <v>69.2</v>
      </c>
      <c r="AC10" s="15"/>
      <c r="AE10" s="5">
        <v>0</v>
      </c>
      <c r="AF10" s="15"/>
      <c r="AG10" s="26"/>
      <c r="AH10" s="5">
        <v>0</v>
      </c>
      <c r="AI10" s="15"/>
    </row>
    <row r="11" spans="1:35" ht="13.5" thickBot="1" x14ac:dyDescent="0.25">
      <c r="A11" s="70" t="s">
        <v>427</v>
      </c>
      <c r="D11" s="9">
        <f>+'kolommenbalans 2019'!B55+'kolommenbalans 2019'!C55</f>
        <v>18260.939999999991</v>
      </c>
      <c r="E11" s="8"/>
      <c r="G11" s="9">
        <f>+'kolommenbalans 2018'!B46+'kolommenbalans 2018'!C46</f>
        <v>22356.939999999991</v>
      </c>
      <c r="H11" s="8"/>
      <c r="J11" s="9">
        <v>21340.339999999997</v>
      </c>
      <c r="K11" s="8"/>
      <c r="M11" s="9">
        <f>+'balans 2016'!D11</f>
        <v>19843.679999999993</v>
      </c>
      <c r="N11" s="8"/>
      <c r="P11" s="4">
        <f>+'balans 2015'!D11</f>
        <v>21437.119999999995</v>
      </c>
      <c r="Q11" s="8"/>
      <c r="S11" s="9">
        <f>+'kolommenbalans 2014'!C29+'kolommenbalans 2014'!D29</f>
        <v>18681.909999999996</v>
      </c>
      <c r="T11" s="8"/>
      <c r="V11" s="9">
        <v>18624.18</v>
      </c>
      <c r="W11" s="8"/>
      <c r="Y11" s="9">
        <v>11168.810000000001</v>
      </c>
      <c r="Z11" s="8"/>
      <c r="AB11" s="9">
        <v>10533.65</v>
      </c>
      <c r="AC11" s="8"/>
      <c r="AE11" s="6">
        <v>6086.88</v>
      </c>
      <c r="AF11" s="8"/>
      <c r="AG11" s="7"/>
      <c r="AH11" s="6">
        <v>635.5</v>
      </c>
      <c r="AI11" s="8"/>
    </row>
    <row r="12" spans="1:35" ht="13.5" thickBot="1" x14ac:dyDescent="0.25">
      <c r="E12" s="16">
        <f>+D11+D10</f>
        <v>18096.859999999993</v>
      </c>
      <c r="H12" s="16">
        <f>+G11+G10</f>
        <v>22556.85999999999</v>
      </c>
      <c r="K12" s="16">
        <v>23235.189999999995</v>
      </c>
      <c r="N12" s="16">
        <f>+M11+M10</f>
        <v>20011.219999999994</v>
      </c>
      <c r="Q12" s="16">
        <f>+P11+P10</f>
        <v>21600.399999999994</v>
      </c>
      <c r="T12" s="16">
        <f>+S11+S10</f>
        <v>18794.259999999995</v>
      </c>
      <c r="W12" s="16">
        <v>18723.849999999999</v>
      </c>
      <c r="Z12" s="16">
        <v>11230.880000000001</v>
      </c>
      <c r="AC12" s="16">
        <v>10602.85</v>
      </c>
      <c r="AE12" s="5"/>
      <c r="AF12" s="16">
        <v>6086.88</v>
      </c>
      <c r="AG12" s="7"/>
      <c r="AH12" s="5"/>
      <c r="AI12" s="16">
        <v>635.5</v>
      </c>
    </row>
    <row r="13" spans="1:35" ht="19.5" customHeight="1" x14ac:dyDescent="0.2">
      <c r="A13" s="3"/>
      <c r="C13" s="29" t="s">
        <v>55</v>
      </c>
      <c r="D13" s="30"/>
      <c r="E13" s="18">
        <f>+E12+E7</f>
        <v>18096.859999999993</v>
      </c>
      <c r="F13" s="29"/>
      <c r="G13" s="30"/>
      <c r="H13" s="18">
        <f>+H12+H7</f>
        <v>22556.85999999999</v>
      </c>
      <c r="I13" s="29"/>
      <c r="J13" s="30"/>
      <c r="K13" s="18">
        <v>23235.189999999995</v>
      </c>
      <c r="L13" s="29"/>
      <c r="M13" s="30"/>
      <c r="N13" s="18">
        <f>+N12+N7</f>
        <v>20011.219999999994</v>
      </c>
      <c r="O13" s="29"/>
      <c r="P13" s="30"/>
      <c r="Q13" s="18">
        <f>+Q12+Q7</f>
        <v>21600.399999999994</v>
      </c>
      <c r="R13" s="29"/>
      <c r="S13" s="30"/>
      <c r="T13" s="18">
        <f>+T12+T7</f>
        <v>18794.259999999995</v>
      </c>
      <c r="U13" s="29"/>
      <c r="V13" s="30"/>
      <c r="W13" s="18">
        <v>18723.849999999999</v>
      </c>
      <c r="X13" s="29"/>
      <c r="Y13" s="30"/>
      <c r="Z13" s="18">
        <v>11230.880000000001</v>
      </c>
      <c r="AA13" s="29"/>
      <c r="AB13" s="30"/>
      <c r="AC13" s="18">
        <v>10602.85</v>
      </c>
      <c r="AD13" s="29"/>
      <c r="AE13" s="7"/>
      <c r="AF13" s="18">
        <v>6086.88</v>
      </c>
      <c r="AG13" s="37"/>
      <c r="AH13" s="7"/>
      <c r="AI13" s="18">
        <v>635.5</v>
      </c>
    </row>
    <row r="14" spans="1:35" x14ac:dyDescent="0.2">
      <c r="E14" s="8"/>
      <c r="H14" s="8"/>
      <c r="K14" s="8"/>
      <c r="N14" s="8"/>
      <c r="Q14" s="8"/>
      <c r="T14" s="8"/>
      <c r="W14" s="8"/>
      <c r="Z14" s="8"/>
      <c r="AC14" s="8"/>
      <c r="AE14" s="5"/>
      <c r="AF14" s="8"/>
      <c r="AG14" s="7"/>
      <c r="AH14" s="5"/>
      <c r="AI14" s="8"/>
    </row>
    <row r="15" spans="1:35" ht="15.75" x14ac:dyDescent="0.25">
      <c r="A15" s="2" t="s">
        <v>22</v>
      </c>
      <c r="E15" s="8"/>
      <c r="H15" s="8"/>
      <c r="K15" s="8"/>
      <c r="N15" s="8"/>
      <c r="Q15" s="8"/>
      <c r="T15" s="8"/>
      <c r="W15" s="8"/>
      <c r="Z15" s="8"/>
      <c r="AC15" s="8"/>
      <c r="AE15" s="5"/>
      <c r="AF15" s="8"/>
      <c r="AG15" s="7"/>
      <c r="AH15" s="5"/>
      <c r="AI15" s="8"/>
    </row>
    <row r="16" spans="1:35" ht="19.5" customHeight="1" x14ac:dyDescent="0.2">
      <c r="A16" s="11" t="s">
        <v>29</v>
      </c>
      <c r="E16" s="8"/>
      <c r="H16" s="8"/>
      <c r="K16" s="8"/>
      <c r="N16" s="8"/>
      <c r="Q16" s="8"/>
      <c r="T16" s="8"/>
      <c r="W16" s="8"/>
      <c r="Z16" s="8"/>
      <c r="AC16" s="8"/>
      <c r="AE16" s="5"/>
      <c r="AF16" s="8"/>
      <c r="AG16" s="7"/>
      <c r="AH16" s="5"/>
      <c r="AI16" s="8"/>
    </row>
    <row r="17" spans="1:38" x14ac:dyDescent="0.2">
      <c r="A17" t="s">
        <v>28</v>
      </c>
      <c r="D17" s="5">
        <f>-'kolommenbalans 2019'!E55</f>
        <v>15676.860000000002</v>
      </c>
      <c r="E17" s="8"/>
      <c r="G17" s="5">
        <f>-'kolommenbalans 2018'!G46</f>
        <v>4676.8600000000024</v>
      </c>
      <c r="H17" s="8"/>
      <c r="J17" s="5">
        <v>12645.189999999995</v>
      </c>
      <c r="K17" s="8"/>
      <c r="M17" s="5">
        <f>+'balans 2016'!D17</f>
        <v>4230.5700000000015</v>
      </c>
      <c r="N17" s="8"/>
      <c r="P17" s="5">
        <f>-'balans 2015'!D17</f>
        <v>14848.090000000002</v>
      </c>
      <c r="Q17" s="8"/>
      <c r="S17" s="5">
        <f>-'kolommenbalans 2014'!F29</f>
        <v>12794.26</v>
      </c>
      <c r="T17" s="8"/>
      <c r="V17" s="5">
        <v>11223.85</v>
      </c>
      <c r="W17" s="8"/>
      <c r="Y17" s="5">
        <v>635.5</v>
      </c>
      <c r="Z17" s="8"/>
      <c r="AB17" s="5">
        <v>635.5</v>
      </c>
      <c r="AC17" s="8"/>
      <c r="AE17" s="5">
        <v>635.5</v>
      </c>
      <c r="AF17" s="8"/>
      <c r="AG17" s="7"/>
      <c r="AH17" s="5">
        <v>635.5</v>
      </c>
      <c r="AI17" s="8"/>
    </row>
    <row r="18" spans="1:38" x14ac:dyDescent="0.2">
      <c r="A18" s="70" t="s">
        <v>428</v>
      </c>
      <c r="D18" s="5">
        <f>-'kolommenbalans 2019'!F55</f>
        <v>2420</v>
      </c>
      <c r="E18" s="8"/>
      <c r="G18" s="5">
        <f>-'kolommenbalans 2018'!H46</f>
        <v>17880</v>
      </c>
      <c r="H18" s="8"/>
      <c r="J18" s="5">
        <v>10590</v>
      </c>
      <c r="K18" s="8"/>
      <c r="M18" s="5">
        <f>+'balans 2016'!D18</f>
        <v>15780.65</v>
      </c>
      <c r="N18" s="8"/>
      <c r="P18" s="5">
        <f>-'balans 2015'!D18</f>
        <v>6752.3099999999995</v>
      </c>
      <c r="Q18" s="8"/>
      <c r="S18" s="5">
        <f>-'kolommenbalans 2014'!G29</f>
        <v>6000</v>
      </c>
      <c r="T18" s="8"/>
      <c r="V18" s="5">
        <v>7500</v>
      </c>
      <c r="W18" s="8"/>
      <c r="Y18" s="5">
        <v>1460</v>
      </c>
      <c r="Z18" s="8"/>
      <c r="AB18" s="5">
        <v>3130</v>
      </c>
      <c r="AC18" s="8"/>
      <c r="AE18" s="5">
        <v>0</v>
      </c>
      <c r="AF18" s="8"/>
      <c r="AG18" s="7"/>
      <c r="AH18" s="5">
        <v>0</v>
      </c>
      <c r="AI18" s="8"/>
    </row>
    <row r="19" spans="1:38" ht="13.5" thickBot="1" x14ac:dyDescent="0.25">
      <c r="A19" t="s">
        <v>17</v>
      </c>
      <c r="D19" s="9"/>
      <c r="E19" s="8"/>
      <c r="G19" s="9">
        <v>0</v>
      </c>
      <c r="H19" s="8"/>
      <c r="J19" s="9">
        <v>0</v>
      </c>
      <c r="K19" s="8"/>
      <c r="M19" s="9">
        <v>0</v>
      </c>
      <c r="N19" s="8"/>
      <c r="P19" s="9">
        <v>0</v>
      </c>
      <c r="Q19" s="8"/>
      <c r="S19" s="9">
        <v>0</v>
      </c>
      <c r="T19" s="8"/>
      <c r="V19" s="9">
        <v>0</v>
      </c>
      <c r="W19" s="8"/>
      <c r="Y19" s="9">
        <v>7458.3500000000013</v>
      </c>
      <c r="Z19" s="8"/>
      <c r="AB19" s="9">
        <v>-41.450000000000728</v>
      </c>
      <c r="AC19" s="8"/>
      <c r="AE19" s="6">
        <v>2458.5500000000002</v>
      </c>
      <c r="AF19" s="8"/>
      <c r="AG19" s="7"/>
      <c r="AH19" s="6">
        <v>0</v>
      </c>
      <c r="AI19" s="8"/>
    </row>
    <row r="20" spans="1:38" s="12" customFormat="1" ht="13.5" customHeight="1" x14ac:dyDescent="0.2">
      <c r="D20" s="68"/>
      <c r="E20" s="49">
        <f>+D19+D17+D18</f>
        <v>18096.86</v>
      </c>
      <c r="G20" s="68"/>
      <c r="H20" s="49">
        <f>+G19+G17+G18</f>
        <v>22556.86</v>
      </c>
      <c r="J20" s="68"/>
      <c r="K20" s="49">
        <v>23235.189999999995</v>
      </c>
      <c r="M20" s="68"/>
      <c r="N20" s="49">
        <f>+M19+M17+M18</f>
        <v>20011.22</v>
      </c>
      <c r="P20" s="68"/>
      <c r="Q20" s="49">
        <f>+P19+P17+P18</f>
        <v>21600.400000000001</v>
      </c>
      <c r="S20" s="68"/>
      <c r="T20" s="49">
        <f>+S19+S17+S18</f>
        <v>18794.260000000002</v>
      </c>
      <c r="V20" s="68"/>
      <c r="W20" s="49">
        <v>18723.849999999999</v>
      </c>
      <c r="Y20" s="68"/>
      <c r="Z20" s="49">
        <v>9553.8500000000022</v>
      </c>
      <c r="AB20" s="68"/>
      <c r="AC20" s="49">
        <v>3724.0499999999993</v>
      </c>
      <c r="AE20" s="13"/>
      <c r="AF20" s="49">
        <v>3094.05</v>
      </c>
      <c r="AG20" s="50"/>
      <c r="AH20" s="50"/>
      <c r="AI20" s="49">
        <v>635.5</v>
      </c>
    </row>
    <row r="21" spans="1:38" x14ac:dyDescent="0.2">
      <c r="E21" s="8"/>
      <c r="H21" s="8"/>
      <c r="K21" s="8"/>
      <c r="N21" s="8"/>
      <c r="Q21" s="8"/>
      <c r="T21" s="8"/>
      <c r="W21" s="8"/>
      <c r="Z21" s="8"/>
      <c r="AC21" s="8"/>
      <c r="AE21" s="5"/>
      <c r="AF21" s="8"/>
      <c r="AG21" s="7"/>
      <c r="AH21" s="5"/>
      <c r="AI21" s="8"/>
    </row>
    <row r="22" spans="1:38" s="12" customFormat="1" ht="13.5" thickBot="1" x14ac:dyDescent="0.25">
      <c r="A22" s="11" t="s">
        <v>30</v>
      </c>
      <c r="E22" s="16">
        <v>0</v>
      </c>
      <c r="H22" s="16">
        <v>0</v>
      </c>
      <c r="K22" s="16">
        <v>0</v>
      </c>
      <c r="N22" s="16">
        <v>0</v>
      </c>
      <c r="Q22" s="16">
        <v>0</v>
      </c>
      <c r="T22" s="16">
        <v>0</v>
      </c>
      <c r="W22" s="16">
        <v>0</v>
      </c>
      <c r="Z22" s="16">
        <v>1677.0299999999997</v>
      </c>
      <c r="AC22" s="16">
        <v>6879</v>
      </c>
      <c r="AE22" s="13"/>
      <c r="AF22" s="51">
        <v>2993.0299999999997</v>
      </c>
      <c r="AG22" s="36"/>
      <c r="AH22" s="13"/>
      <c r="AI22" s="17">
        <v>0</v>
      </c>
    </row>
    <row r="23" spans="1:38" ht="19.5" customHeight="1" x14ac:dyDescent="0.2">
      <c r="C23" s="29" t="s">
        <v>55</v>
      </c>
      <c r="D23" s="30"/>
      <c r="E23" s="18">
        <f>+E20</f>
        <v>18096.86</v>
      </c>
      <c r="F23" s="29"/>
      <c r="G23" s="30"/>
      <c r="H23" s="18">
        <f>+H20</f>
        <v>22556.86</v>
      </c>
      <c r="I23" s="29"/>
      <c r="J23" s="30"/>
      <c r="K23" s="18">
        <v>23235.189999999995</v>
      </c>
      <c r="L23" s="29"/>
      <c r="M23" s="30"/>
      <c r="N23" s="18">
        <f>+N20</f>
        <v>20011.22</v>
      </c>
      <c r="O23" s="29"/>
      <c r="P23" s="30"/>
      <c r="Q23" s="18">
        <f>+Q20</f>
        <v>21600.400000000001</v>
      </c>
      <c r="R23" s="29"/>
      <c r="S23" s="30"/>
      <c r="T23" s="18">
        <f>+T20+T22</f>
        <v>18794.260000000002</v>
      </c>
      <c r="U23" s="29"/>
      <c r="V23" s="30"/>
      <c r="W23" s="18">
        <v>18723.849999999999</v>
      </c>
      <c r="X23" s="29"/>
      <c r="Y23" s="30"/>
      <c r="Z23" s="18">
        <v>11230.880000000001</v>
      </c>
      <c r="AA23" s="29"/>
      <c r="AB23" s="30"/>
      <c r="AC23" s="18">
        <v>10603.05</v>
      </c>
      <c r="AD23" s="29"/>
      <c r="AE23" s="5"/>
      <c r="AF23" s="18">
        <v>6087.08</v>
      </c>
      <c r="AG23" s="37"/>
      <c r="AH23" s="5"/>
      <c r="AI23" s="18">
        <v>635.5</v>
      </c>
    </row>
    <row r="24" spans="1:38" ht="19.5" customHeight="1" x14ac:dyDescent="0.2">
      <c r="E24" s="18"/>
      <c r="H24" s="18"/>
      <c r="K24" s="18"/>
      <c r="N24" s="18"/>
      <c r="Q24" s="18"/>
      <c r="T24" s="18"/>
      <c r="W24" s="18"/>
      <c r="Z24" s="18"/>
      <c r="AC24" s="18"/>
      <c r="AE24" s="5"/>
      <c r="AF24" s="18"/>
      <c r="AG24" s="37"/>
      <c r="AH24" s="5"/>
      <c r="AI24" s="18"/>
    </row>
    <row r="25" spans="1:38" ht="19.5" customHeight="1" x14ac:dyDescent="0.2">
      <c r="E25" s="18"/>
      <c r="H25" s="18"/>
      <c r="K25" s="18"/>
      <c r="N25" s="18"/>
      <c r="Q25" s="18"/>
      <c r="T25" s="18"/>
      <c r="W25" s="18"/>
      <c r="Z25" s="18"/>
      <c r="AC25" s="18"/>
      <c r="AE25" s="5"/>
      <c r="AF25" s="18"/>
      <c r="AG25" s="37"/>
      <c r="AH25" s="5"/>
      <c r="AI25" s="18"/>
    </row>
    <row r="26" spans="1:38" x14ac:dyDescent="0.2">
      <c r="AE26" s="5"/>
      <c r="AF26" s="7"/>
      <c r="AG26" s="7"/>
      <c r="AH26" s="5"/>
      <c r="AI26" s="7"/>
    </row>
    <row r="27" spans="1:38" x14ac:dyDescent="0.2">
      <c r="E27" s="52"/>
      <c r="H27" s="52"/>
      <c r="K27" s="52"/>
      <c r="N27" s="52"/>
      <c r="Q27" s="52"/>
      <c r="T27" s="52"/>
      <c r="W27" s="52"/>
      <c r="Z27" s="52"/>
      <c r="AC27" s="52"/>
    </row>
    <row r="28" spans="1:38" x14ac:dyDescent="0.2">
      <c r="A28" t="s">
        <v>31</v>
      </c>
      <c r="C28" t="s">
        <v>632</v>
      </c>
      <c r="AF28" s="22"/>
      <c r="AG28" s="22"/>
      <c r="AI28" s="22"/>
    </row>
    <row r="29" spans="1:38" x14ac:dyDescent="0.2">
      <c r="A29" s="70" t="s">
        <v>470</v>
      </c>
      <c r="E29" s="52">
        <f>+E23-E13</f>
        <v>0</v>
      </c>
      <c r="AL29" s="12"/>
    </row>
    <row r="30" spans="1:38" x14ac:dyDescent="0.2">
      <c r="A30" t="s">
        <v>471</v>
      </c>
    </row>
  </sheetData>
  <mergeCells count="22">
    <mergeCell ref="V3:W3"/>
    <mergeCell ref="G3:H3"/>
    <mergeCell ref="J3:K3"/>
    <mergeCell ref="M3:N3"/>
    <mergeCell ref="P3:Q3"/>
    <mergeCell ref="S3:T3"/>
    <mergeCell ref="Y4:Z4"/>
    <mergeCell ref="AB4:AC4"/>
    <mergeCell ref="AE4:AF4"/>
    <mergeCell ref="AH4:AI4"/>
    <mergeCell ref="D3:E3"/>
    <mergeCell ref="D4:E4"/>
    <mergeCell ref="Y3:Z3"/>
    <mergeCell ref="AB3:AC3"/>
    <mergeCell ref="AE3:AF3"/>
    <mergeCell ref="AH3:AI3"/>
    <mergeCell ref="G4:H4"/>
    <mergeCell ref="J4:K4"/>
    <mergeCell ref="M4:N4"/>
    <mergeCell ref="P4:Q4"/>
    <mergeCell ref="S4:T4"/>
    <mergeCell ref="V4:W4"/>
  </mergeCells>
  <pageMargins left="0.75" right="0.5" top="0.98" bottom="0.98" header="0.51" footer="0.51"/>
  <pageSetup paperSize="9" scale="79" orientation="landscape"/>
  <headerFooter alignWithMargins="0">
    <oddFooter>&amp;L&amp;F, &amp;A&amp;R&amp;D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2"/>
  <sheetViews>
    <sheetView topLeftCell="A12" zoomScaleNormal="100" workbookViewId="0">
      <selection activeCell="C1" sqref="C1"/>
    </sheetView>
  </sheetViews>
  <sheetFormatPr defaultColWidth="8.85546875" defaultRowHeight="12.75" x14ac:dyDescent="0.2"/>
  <cols>
    <col min="1" max="1" width="2.42578125" customWidth="1"/>
    <col min="2" max="2" width="6.85546875" customWidth="1"/>
    <col min="3" max="3" width="25.85546875" customWidth="1"/>
    <col min="4" max="4" width="10.28515625" style="32" customWidth="1"/>
    <col min="5" max="5" width="10.28515625" bestFit="1" customWidth="1"/>
    <col min="6" max="6" width="2.42578125" customWidth="1"/>
    <col min="7" max="7" width="10.28515625" style="32" customWidth="1"/>
    <col min="8" max="8" width="10.28515625" bestFit="1" customWidth="1"/>
    <col min="9" max="9" width="2.42578125" customWidth="1"/>
    <col min="10" max="10" width="10.28515625" style="32" customWidth="1"/>
    <col min="11" max="11" width="10.28515625" bestFit="1" customWidth="1"/>
    <col min="12" max="12" width="2.42578125" customWidth="1"/>
    <col min="13" max="13" width="10.28515625" style="32" customWidth="1"/>
    <col min="15" max="15" width="2.42578125" customWidth="1"/>
    <col min="16" max="16" width="10.28515625" style="4" bestFit="1" customWidth="1"/>
    <col min="18" max="18" width="2.42578125" customWidth="1"/>
    <col min="20" max="20" width="10.28515625" bestFit="1" customWidth="1"/>
    <col min="21" max="21" width="2.42578125" customWidth="1"/>
    <col min="24" max="24" width="2.42578125" customWidth="1"/>
    <col min="25" max="25" width="9.140625" style="5" customWidth="1"/>
    <col min="27" max="27" width="2.42578125" customWidth="1"/>
    <col min="29" max="29" width="10.28515625" customWidth="1"/>
    <col min="30" max="30" width="2.42578125" customWidth="1"/>
    <col min="32" max="32" width="10.28515625" customWidth="1"/>
  </cols>
  <sheetData>
    <row r="1" spans="1:32" ht="20.25" x14ac:dyDescent="0.3">
      <c r="A1" s="10" t="s">
        <v>74</v>
      </c>
    </row>
    <row r="3" spans="1:32" x14ac:dyDescent="0.2">
      <c r="D3" s="249" t="s">
        <v>587</v>
      </c>
      <c r="E3" s="236"/>
      <c r="G3" s="249" t="s">
        <v>513</v>
      </c>
      <c r="H3" s="236"/>
      <c r="I3" s="27"/>
      <c r="J3" s="249" t="s">
        <v>439</v>
      </c>
      <c r="K3" s="236"/>
      <c r="L3" s="27"/>
      <c r="M3" s="249" t="s">
        <v>369</v>
      </c>
      <c r="N3" s="236"/>
      <c r="O3" s="27"/>
      <c r="P3" s="249" t="s">
        <v>343</v>
      </c>
      <c r="Q3" s="236"/>
      <c r="R3" s="27"/>
      <c r="S3" s="249" t="s">
        <v>290</v>
      </c>
      <c r="T3" s="236"/>
      <c r="U3" s="27"/>
      <c r="V3" s="249" t="s">
        <v>244</v>
      </c>
      <c r="W3" s="236"/>
      <c r="X3" s="27"/>
      <c r="Y3" s="249" t="s">
        <v>230</v>
      </c>
      <c r="Z3" s="236"/>
      <c r="AB3" s="250" t="s">
        <v>368</v>
      </c>
      <c r="AC3" s="236"/>
      <c r="AE3" s="251" t="s">
        <v>75</v>
      </c>
      <c r="AF3" s="236"/>
    </row>
    <row r="4" spans="1:32" x14ac:dyDescent="0.2">
      <c r="D4" s="232" t="s">
        <v>73</v>
      </c>
      <c r="E4" s="231"/>
      <c r="G4" s="232" t="s">
        <v>73</v>
      </c>
      <c r="H4" s="231"/>
      <c r="I4" s="28"/>
      <c r="J4" s="232" t="s">
        <v>73</v>
      </c>
      <c r="K4" s="231"/>
      <c r="L4" s="28"/>
      <c r="M4" s="232" t="s">
        <v>73</v>
      </c>
      <c r="N4" s="231"/>
      <c r="O4" s="28"/>
      <c r="P4" s="232" t="s">
        <v>73</v>
      </c>
      <c r="Q4" s="231"/>
      <c r="R4" s="28"/>
      <c r="S4" s="232" t="s">
        <v>73</v>
      </c>
      <c r="T4" s="231"/>
      <c r="U4" s="28"/>
      <c r="V4" s="232" t="s">
        <v>73</v>
      </c>
      <c r="W4" s="231"/>
      <c r="X4" s="28"/>
      <c r="Y4" s="232" t="s">
        <v>73</v>
      </c>
      <c r="Z4" s="231"/>
      <c r="AB4" s="232" t="s">
        <v>73</v>
      </c>
      <c r="AC4" s="231"/>
      <c r="AE4" s="232" t="s">
        <v>73</v>
      </c>
      <c r="AF4" s="231"/>
    </row>
    <row r="5" spans="1:32" ht="15.75" x14ac:dyDescent="0.25">
      <c r="A5" s="2" t="s">
        <v>0</v>
      </c>
      <c r="D5" s="44"/>
      <c r="E5" s="8"/>
      <c r="G5" s="44"/>
      <c r="H5" s="8"/>
      <c r="I5" s="7"/>
      <c r="J5" s="44"/>
      <c r="K5" s="8"/>
      <c r="L5" s="7"/>
      <c r="M5" s="44"/>
      <c r="N5" s="8"/>
      <c r="O5" s="7"/>
      <c r="P5" s="44"/>
      <c r="Q5" s="8"/>
      <c r="R5" s="7"/>
      <c r="S5" s="5"/>
      <c r="T5" s="8"/>
      <c r="U5" s="7"/>
      <c r="V5" s="5"/>
      <c r="W5" s="8"/>
      <c r="X5" s="7"/>
      <c r="Z5" s="8"/>
      <c r="AB5" s="5"/>
      <c r="AC5" s="8"/>
      <c r="AE5" s="5"/>
      <c r="AF5" s="8"/>
    </row>
    <row r="6" spans="1:32" x14ac:dyDescent="0.2">
      <c r="A6" t="s">
        <v>11</v>
      </c>
      <c r="D6" s="32">
        <f>+'kolommenbalans 2019'!H53</f>
        <v>30965.32</v>
      </c>
      <c r="E6" s="8"/>
      <c r="G6" s="32">
        <f>'kolommenbalans 2018'!K44</f>
        <v>19796.57</v>
      </c>
      <c r="H6" s="8"/>
      <c r="I6" s="7"/>
      <c r="J6" s="32">
        <v>20251.940000000002</v>
      </c>
      <c r="K6" s="8"/>
      <c r="L6" s="7"/>
      <c r="M6" s="32">
        <v>18100</v>
      </c>
      <c r="N6" s="8"/>
      <c r="O6" s="7"/>
      <c r="P6" s="32">
        <v>21500</v>
      </c>
      <c r="Q6" s="8"/>
      <c r="R6" s="7"/>
      <c r="S6" s="4">
        <v>7500</v>
      </c>
      <c r="T6" s="8"/>
      <c r="U6" s="7"/>
      <c r="W6" s="8"/>
      <c r="X6" s="7"/>
      <c r="Y6"/>
      <c r="Z6" s="8"/>
      <c r="AB6" s="5">
        <v>7500</v>
      </c>
      <c r="AC6" s="8"/>
      <c r="AF6" s="8"/>
    </row>
    <row r="7" spans="1:32" x14ac:dyDescent="0.2">
      <c r="A7" t="s">
        <v>1</v>
      </c>
      <c r="D7" s="32">
        <v>0</v>
      </c>
      <c r="E7" s="8"/>
      <c r="G7" s="32">
        <v>0</v>
      </c>
      <c r="H7" s="8"/>
      <c r="I7" s="7"/>
      <c r="J7" s="32">
        <v>0</v>
      </c>
      <c r="K7" s="8"/>
      <c r="L7" s="7"/>
      <c r="M7" s="32">
        <f>+'winst en verlies 2016'!G7</f>
        <v>0</v>
      </c>
      <c r="N7" s="8"/>
      <c r="O7" s="7"/>
      <c r="P7" s="32">
        <v>0</v>
      </c>
      <c r="Q7" s="8"/>
      <c r="R7" s="7"/>
      <c r="S7" s="5">
        <v>0</v>
      </c>
      <c r="T7" s="8"/>
      <c r="U7" s="7"/>
      <c r="V7" s="5">
        <v>0</v>
      </c>
      <c r="W7" s="8"/>
      <c r="X7" s="7"/>
      <c r="Y7" s="5">
        <v>0</v>
      </c>
      <c r="Z7" s="8"/>
      <c r="AB7" s="5">
        <v>0</v>
      </c>
      <c r="AC7" s="8"/>
      <c r="AE7" s="5">
        <v>0</v>
      </c>
      <c r="AF7" s="8"/>
    </row>
    <row r="8" spans="1:32" x14ac:dyDescent="0.2">
      <c r="A8" t="s">
        <v>2</v>
      </c>
      <c r="D8" s="32">
        <v>0</v>
      </c>
      <c r="E8" s="8"/>
      <c r="G8" s="32">
        <v>0</v>
      </c>
      <c r="H8" s="8"/>
      <c r="I8" s="7"/>
      <c r="J8" s="32">
        <v>0</v>
      </c>
      <c r="K8" s="8"/>
      <c r="L8" s="7"/>
      <c r="M8" s="32">
        <f>+'winst en verlies 2016'!G8</f>
        <v>0</v>
      </c>
      <c r="N8" s="8"/>
      <c r="O8" s="7"/>
      <c r="P8" s="32">
        <v>0</v>
      </c>
      <c r="Q8" s="8"/>
      <c r="R8" s="7"/>
      <c r="S8" s="5">
        <v>0</v>
      </c>
      <c r="T8" s="8"/>
      <c r="U8" s="7"/>
      <c r="V8" s="5">
        <v>7500</v>
      </c>
      <c r="W8" s="8"/>
      <c r="X8" s="7"/>
      <c r="Y8" s="5">
        <v>7500</v>
      </c>
      <c r="Z8" s="8"/>
      <c r="AB8" s="5"/>
      <c r="AC8" s="8"/>
      <c r="AE8" s="5">
        <v>7500</v>
      </c>
      <c r="AF8" s="8"/>
    </row>
    <row r="9" spans="1:32" x14ac:dyDescent="0.2">
      <c r="A9" s="70" t="s">
        <v>432</v>
      </c>
      <c r="D9" s="32">
        <f>'kolommenbalans 2019'!K47</f>
        <v>253.60000000000002</v>
      </c>
      <c r="E9" s="8"/>
      <c r="G9" s="32">
        <f>-'kolommenbalans 2018'!N38</f>
        <v>119.92</v>
      </c>
      <c r="H9" s="8"/>
      <c r="I9" s="7"/>
      <c r="J9" s="32">
        <v>173.56</v>
      </c>
      <c r="K9" s="8"/>
      <c r="L9" s="7"/>
      <c r="M9" s="32">
        <v>334.54</v>
      </c>
      <c r="N9" s="8"/>
      <c r="O9" s="7"/>
      <c r="P9" s="32"/>
      <c r="Q9" s="8"/>
      <c r="R9" s="7"/>
      <c r="S9" s="5"/>
      <c r="T9" s="8"/>
      <c r="U9" s="7"/>
      <c r="V9" s="5"/>
      <c r="W9" s="8"/>
      <c r="X9" s="7"/>
      <c r="Z9" s="8"/>
      <c r="AB9" s="5"/>
      <c r="AC9" s="8"/>
      <c r="AE9" s="5"/>
      <c r="AF9" s="8"/>
    </row>
    <row r="10" spans="1:32" ht="13.5" thickBot="1" x14ac:dyDescent="0.25">
      <c r="A10" s="70" t="s">
        <v>431</v>
      </c>
      <c r="D10" s="103">
        <f>'kolommenbalans 2018'!I44</f>
        <v>0</v>
      </c>
      <c r="E10" s="8"/>
      <c r="G10" s="103">
        <f>'kolommenbalans 2018'!L44</f>
        <v>3.67</v>
      </c>
      <c r="H10" s="8"/>
      <c r="I10" s="7"/>
      <c r="J10" s="103">
        <v>14.62</v>
      </c>
      <c r="K10" s="8"/>
      <c r="L10" s="7"/>
      <c r="M10" s="103">
        <v>32.479999999999997</v>
      </c>
      <c r="N10" s="8"/>
      <c r="O10" s="7"/>
      <c r="P10" s="103">
        <v>217.11</v>
      </c>
      <c r="Q10" s="8"/>
      <c r="R10" s="7"/>
      <c r="S10" s="6">
        <v>183</v>
      </c>
      <c r="T10" s="8"/>
      <c r="U10" s="7"/>
      <c r="V10" s="6">
        <v>112</v>
      </c>
      <c r="W10" s="8"/>
      <c r="X10" s="7"/>
      <c r="Y10" s="6">
        <v>62</v>
      </c>
      <c r="Z10" s="8"/>
      <c r="AB10" s="6">
        <v>100</v>
      </c>
      <c r="AC10" s="8"/>
      <c r="AE10" s="6">
        <v>86.56</v>
      </c>
      <c r="AF10" s="8"/>
    </row>
    <row r="11" spans="1:32" ht="19.5" customHeight="1" x14ac:dyDescent="0.2">
      <c r="A11" s="3" t="s">
        <v>3</v>
      </c>
      <c r="D11" s="86"/>
      <c r="E11" s="8">
        <f>SUM(D6:D10)</f>
        <v>31218.92</v>
      </c>
      <c r="G11" s="86"/>
      <c r="H11" s="8">
        <f>SUM(G6:G10)</f>
        <v>19920.159999999996</v>
      </c>
      <c r="I11" s="7"/>
      <c r="J11" s="86"/>
      <c r="K11" s="8">
        <v>20440.120000000003</v>
      </c>
      <c r="L11" s="7"/>
      <c r="M11" s="86"/>
      <c r="N11" s="8">
        <f>SUM(M6:M10)</f>
        <v>18467.02</v>
      </c>
      <c r="O11" s="7"/>
      <c r="P11" s="86"/>
      <c r="Q11" s="8">
        <v>21717.11</v>
      </c>
      <c r="R11" s="7"/>
      <c r="S11" s="7"/>
      <c r="T11" s="8">
        <f>SUM(S6:S10)</f>
        <v>7683</v>
      </c>
      <c r="U11" s="7"/>
      <c r="V11" s="7"/>
      <c r="W11" s="8">
        <f>SUM(V7:V10)</f>
        <v>7612</v>
      </c>
      <c r="X11" s="7"/>
      <c r="Y11" s="7"/>
      <c r="Z11" s="8">
        <f>SUM(Y7:Y10)</f>
        <v>7562</v>
      </c>
      <c r="AB11" s="7"/>
      <c r="AC11" s="8">
        <f>SUM(AB6:AB10)</f>
        <v>7600</v>
      </c>
      <c r="AE11" s="7"/>
      <c r="AF11" s="8">
        <v>7586.56</v>
      </c>
    </row>
    <row r="12" spans="1:32" x14ac:dyDescent="0.2">
      <c r="D12" s="44"/>
      <c r="E12" s="8"/>
      <c r="G12" s="44"/>
      <c r="H12" s="8"/>
      <c r="I12" s="7"/>
      <c r="J12" s="44"/>
      <c r="K12" s="8"/>
      <c r="L12" s="7"/>
      <c r="M12" s="44"/>
      <c r="N12" s="8"/>
      <c r="O12" s="7"/>
      <c r="P12" s="44"/>
      <c r="Q12" s="8"/>
      <c r="R12" s="7"/>
      <c r="S12" s="5"/>
      <c r="T12" s="8"/>
      <c r="U12" s="7"/>
      <c r="V12" s="5"/>
      <c r="W12" s="8"/>
      <c r="X12" s="7"/>
      <c r="Z12" s="8"/>
      <c r="AB12" s="5"/>
      <c r="AC12" s="8"/>
      <c r="AE12" s="5"/>
      <c r="AF12" s="8"/>
    </row>
    <row r="13" spans="1:32" x14ac:dyDescent="0.2">
      <c r="A13" t="s">
        <v>4</v>
      </c>
      <c r="D13" s="44">
        <v>0</v>
      </c>
      <c r="E13" s="8"/>
      <c r="G13" s="44">
        <v>0</v>
      </c>
      <c r="H13" s="8"/>
      <c r="I13" s="7"/>
      <c r="J13" s="44">
        <v>0</v>
      </c>
      <c r="K13" s="8"/>
      <c r="L13" s="7"/>
      <c r="M13" s="44">
        <v>0</v>
      </c>
      <c r="N13" s="8"/>
      <c r="O13" s="7"/>
      <c r="P13" s="44">
        <v>0</v>
      </c>
      <c r="Q13" s="8"/>
      <c r="R13" s="7"/>
      <c r="S13" s="5">
        <v>0</v>
      </c>
      <c r="T13" s="8"/>
      <c r="U13" s="7"/>
      <c r="V13" s="5">
        <v>0</v>
      </c>
      <c r="W13" s="8"/>
      <c r="X13" s="7"/>
      <c r="Y13" s="5">
        <v>0</v>
      </c>
      <c r="Z13" s="8"/>
      <c r="AB13" s="5">
        <v>0</v>
      </c>
      <c r="AC13" s="8"/>
      <c r="AE13" s="5">
        <v>0</v>
      </c>
      <c r="AF13" s="8"/>
    </row>
    <row r="14" spans="1:32" ht="13.5" thickBot="1" x14ac:dyDescent="0.25">
      <c r="A14" t="s">
        <v>5</v>
      </c>
      <c r="D14" s="85">
        <v>0</v>
      </c>
      <c r="E14" s="8"/>
      <c r="G14" s="85">
        <v>0</v>
      </c>
      <c r="H14" s="8"/>
      <c r="I14" s="7"/>
      <c r="J14" s="85">
        <v>0</v>
      </c>
      <c r="K14" s="8"/>
      <c r="L14" s="7"/>
      <c r="M14" s="85">
        <v>0</v>
      </c>
      <c r="N14" s="8"/>
      <c r="O14" s="7"/>
      <c r="P14" s="85">
        <v>0</v>
      </c>
      <c r="Q14" s="8"/>
      <c r="R14" s="7"/>
      <c r="S14" s="6">
        <v>0</v>
      </c>
      <c r="T14" s="8"/>
      <c r="U14" s="7"/>
      <c r="V14" s="6">
        <v>0</v>
      </c>
      <c r="W14" s="8"/>
      <c r="X14" s="7"/>
      <c r="Y14" s="6">
        <v>0</v>
      </c>
      <c r="Z14" s="8"/>
      <c r="AB14" s="6">
        <v>0</v>
      </c>
      <c r="AC14" s="8"/>
      <c r="AE14" s="6">
        <v>0</v>
      </c>
      <c r="AF14" s="8"/>
    </row>
    <row r="15" spans="1:32" ht="19.5" customHeight="1" x14ac:dyDescent="0.2">
      <c r="A15" s="3" t="s">
        <v>6</v>
      </c>
      <c r="D15" s="86"/>
      <c r="E15" s="8">
        <f>-SUM(D13:D14)</f>
        <v>0</v>
      </c>
      <c r="G15" s="86"/>
      <c r="H15" s="8">
        <f>-SUM(G13:G14)</f>
        <v>0</v>
      </c>
      <c r="I15" s="7"/>
      <c r="J15" s="86"/>
      <c r="K15" s="8">
        <v>0</v>
      </c>
      <c r="L15" s="7"/>
      <c r="M15" s="86"/>
      <c r="N15" s="8">
        <f>-SUM(M13:M14)</f>
        <v>0</v>
      </c>
      <c r="O15" s="7"/>
      <c r="P15" s="86"/>
      <c r="Q15" s="8">
        <v>0</v>
      </c>
      <c r="R15" s="7"/>
      <c r="S15" s="7"/>
      <c r="T15" s="8">
        <f>-SUM(S13:S14)</f>
        <v>0</v>
      </c>
      <c r="U15" s="7"/>
      <c r="V15" s="7"/>
      <c r="W15" s="8">
        <f>-SUM(V13:V14)</f>
        <v>0</v>
      </c>
      <c r="X15" s="7"/>
      <c r="Y15" s="7"/>
      <c r="Z15" s="8">
        <f>-SUM(Y13:Y14)</f>
        <v>0</v>
      </c>
      <c r="AB15" s="7"/>
      <c r="AC15" s="8">
        <f>-SUM(AB13:AB14)</f>
        <v>0</v>
      </c>
      <c r="AE15" s="7"/>
      <c r="AF15" s="8">
        <v>0</v>
      </c>
    </row>
    <row r="16" spans="1:32" ht="13.5" thickBot="1" x14ac:dyDescent="0.25">
      <c r="A16" t="s">
        <v>14</v>
      </c>
      <c r="D16" s="44"/>
      <c r="E16" s="19">
        <f>+E15/E11</f>
        <v>0</v>
      </c>
      <c r="G16" s="44"/>
      <c r="H16" s="19">
        <f>+H15/H11</f>
        <v>0</v>
      </c>
      <c r="I16" s="26"/>
      <c r="J16" s="44"/>
      <c r="K16" s="19">
        <v>0</v>
      </c>
      <c r="L16" s="26"/>
      <c r="M16" s="44"/>
      <c r="N16" s="19">
        <f>+N15/N11</f>
        <v>0</v>
      </c>
      <c r="O16" s="26"/>
      <c r="P16" s="44"/>
      <c r="Q16" s="19">
        <v>0</v>
      </c>
      <c r="R16" s="26"/>
      <c r="S16" s="5"/>
      <c r="T16" s="19">
        <f>+T15/T11</f>
        <v>0</v>
      </c>
      <c r="U16" s="26"/>
      <c r="V16" s="5"/>
      <c r="W16" s="19">
        <f>+W15/W11</f>
        <v>0</v>
      </c>
      <c r="X16" s="26"/>
      <c r="Z16" s="19">
        <f>+Z15/Z11</f>
        <v>0</v>
      </c>
      <c r="AB16" s="5"/>
      <c r="AC16" s="19">
        <f>+AC15/AC11</f>
        <v>0</v>
      </c>
      <c r="AE16" s="5"/>
      <c r="AF16" s="19">
        <v>0</v>
      </c>
    </row>
    <row r="17" spans="1:32" ht="19.5" customHeight="1" x14ac:dyDescent="0.2">
      <c r="A17" s="3" t="s">
        <v>8</v>
      </c>
      <c r="D17" s="86"/>
      <c r="E17" s="8">
        <f>+E11+E15</f>
        <v>31218.92</v>
      </c>
      <c r="G17" s="86"/>
      <c r="H17" s="8">
        <f>+H11+H15</f>
        <v>19920.159999999996</v>
      </c>
      <c r="I17" s="7"/>
      <c r="J17" s="86"/>
      <c r="K17" s="8">
        <v>20440.120000000003</v>
      </c>
      <c r="L17" s="7"/>
      <c r="M17" s="86"/>
      <c r="N17" s="8">
        <f>+N11+N15</f>
        <v>18467.02</v>
      </c>
      <c r="O17" s="7"/>
      <c r="P17" s="86"/>
      <c r="Q17" s="8">
        <v>21717.11</v>
      </c>
      <c r="R17" s="7"/>
      <c r="S17" s="7"/>
      <c r="T17" s="8">
        <f>+T11+T15</f>
        <v>7683</v>
      </c>
      <c r="U17" s="7"/>
      <c r="V17" s="7"/>
      <c r="W17" s="8">
        <f>+W11+W15</f>
        <v>7612</v>
      </c>
      <c r="X17" s="7"/>
      <c r="Y17" s="7"/>
      <c r="Z17" s="8">
        <f>+Z11+Z15</f>
        <v>7562</v>
      </c>
      <c r="AB17" s="7"/>
      <c r="AC17" s="8">
        <f>+AC11+AC15</f>
        <v>7600</v>
      </c>
      <c r="AE17" s="7"/>
      <c r="AF17" s="8">
        <v>7586.56</v>
      </c>
    </row>
    <row r="18" spans="1:32" ht="13.5" thickBot="1" x14ac:dyDescent="0.25">
      <c r="A18" t="s">
        <v>7</v>
      </c>
      <c r="D18" s="44"/>
      <c r="E18" s="16">
        <v>0</v>
      </c>
      <c r="G18" s="44"/>
      <c r="H18" s="16">
        <v>0</v>
      </c>
      <c r="I18" s="7"/>
      <c r="J18" s="44"/>
      <c r="K18" s="16">
        <v>0</v>
      </c>
      <c r="L18" s="7"/>
      <c r="M18" s="44"/>
      <c r="N18" s="16">
        <v>0</v>
      </c>
      <c r="O18" s="7"/>
      <c r="P18" s="44"/>
      <c r="Q18" s="16">
        <v>0</v>
      </c>
      <c r="R18" s="7"/>
      <c r="S18" s="5"/>
      <c r="T18" s="16">
        <v>0</v>
      </c>
      <c r="U18" s="7"/>
      <c r="V18" s="5"/>
      <c r="W18" s="16">
        <v>0</v>
      </c>
      <c r="X18" s="7"/>
      <c r="Z18" s="16">
        <v>0</v>
      </c>
      <c r="AB18" s="5"/>
      <c r="AC18" s="16">
        <v>0</v>
      </c>
      <c r="AE18" s="5"/>
      <c r="AF18" s="16">
        <v>0</v>
      </c>
    </row>
    <row r="19" spans="1:32" ht="19.5" customHeight="1" x14ac:dyDescent="0.2">
      <c r="A19" s="3" t="s">
        <v>9</v>
      </c>
      <c r="D19" s="86"/>
      <c r="E19" s="8">
        <f>+E18+E17</f>
        <v>31218.92</v>
      </c>
      <c r="G19" s="86"/>
      <c r="H19" s="8">
        <f>+H18+H17</f>
        <v>19920.159999999996</v>
      </c>
      <c r="I19" s="7"/>
      <c r="J19" s="86"/>
      <c r="K19" s="8">
        <v>20440.120000000003</v>
      </c>
      <c r="L19" s="7"/>
      <c r="M19" s="86"/>
      <c r="N19" s="8">
        <f>+N18+N17</f>
        <v>18467.02</v>
      </c>
      <c r="O19" s="7"/>
      <c r="P19" s="86"/>
      <c r="Q19" s="8">
        <v>21717.11</v>
      </c>
      <c r="R19" s="7"/>
      <c r="S19" s="7"/>
      <c r="T19" s="8">
        <f>+T18+T17</f>
        <v>7683</v>
      </c>
      <c r="U19" s="7"/>
      <c r="V19" s="7"/>
      <c r="W19" s="8">
        <f>+W18+W17</f>
        <v>7612</v>
      </c>
      <c r="X19" s="7"/>
      <c r="Y19" s="7"/>
      <c r="Z19" s="8">
        <f>+Z18+Z17</f>
        <v>7562</v>
      </c>
      <c r="AB19" s="7"/>
      <c r="AC19" s="8">
        <f>+AC18+AC17</f>
        <v>7600</v>
      </c>
      <c r="AE19" s="7"/>
      <c r="AF19" s="8">
        <v>7586.56</v>
      </c>
    </row>
    <row r="20" spans="1:32" x14ac:dyDescent="0.2">
      <c r="D20" s="44"/>
      <c r="E20" s="8"/>
      <c r="G20" s="44"/>
      <c r="H20" s="8"/>
      <c r="I20" s="7"/>
      <c r="J20" s="44"/>
      <c r="K20" s="8"/>
      <c r="L20" s="7"/>
      <c r="M20" s="44"/>
      <c r="N20" s="8"/>
      <c r="O20" s="7"/>
      <c r="P20" s="44"/>
      <c r="Q20" s="8"/>
      <c r="R20" s="7"/>
      <c r="S20" s="5"/>
      <c r="T20" s="8"/>
      <c r="U20" s="7"/>
      <c r="V20" s="5"/>
      <c r="W20" s="8"/>
      <c r="X20" s="7"/>
      <c r="Z20" s="8"/>
      <c r="AB20" s="5"/>
      <c r="AC20" s="8"/>
      <c r="AE20" s="5"/>
      <c r="AF20" s="8"/>
    </row>
    <row r="21" spans="1:32" ht="15.75" x14ac:dyDescent="0.25">
      <c r="A21" s="2" t="s">
        <v>10</v>
      </c>
      <c r="D21" s="44"/>
      <c r="E21" s="8"/>
      <c r="G21" s="44"/>
      <c r="H21" s="8"/>
      <c r="I21" s="7"/>
      <c r="J21" s="44"/>
      <c r="K21" s="8"/>
      <c r="L21" s="7"/>
      <c r="M21" s="44"/>
      <c r="N21" s="8"/>
      <c r="O21" s="7"/>
      <c r="P21" s="44"/>
      <c r="Q21" s="8"/>
      <c r="R21" s="7"/>
      <c r="S21" s="5"/>
      <c r="T21" s="8"/>
      <c r="U21" s="7"/>
      <c r="V21" s="5"/>
      <c r="W21" s="8"/>
      <c r="X21" s="7"/>
      <c r="Z21" s="8"/>
      <c r="AB21" s="5"/>
      <c r="AC21" s="8"/>
      <c r="AE21" s="5"/>
      <c r="AF21" s="8"/>
    </row>
    <row r="22" spans="1:32" x14ac:dyDescent="0.2">
      <c r="A22" s="70" t="s">
        <v>578</v>
      </c>
      <c r="D22" s="44">
        <v>0</v>
      </c>
      <c r="E22" s="8"/>
      <c r="G22" s="44">
        <f>+'kolommenbalans 2018'!O35</f>
        <v>12768.57</v>
      </c>
      <c r="H22" s="8"/>
      <c r="I22" s="7"/>
      <c r="J22" s="44">
        <v>14851.94</v>
      </c>
      <c r="K22" s="8"/>
      <c r="L22" s="7"/>
      <c r="M22" s="44">
        <v>32271.66</v>
      </c>
      <c r="N22" s="8"/>
      <c r="O22" s="7"/>
      <c r="P22" s="44">
        <v>12747.69</v>
      </c>
      <c r="Q22" s="8"/>
      <c r="R22" s="7"/>
      <c r="S22" s="5">
        <v>6000</v>
      </c>
      <c r="T22" s="8"/>
      <c r="U22" s="7"/>
      <c r="V22" s="5">
        <v>0</v>
      </c>
      <c r="W22" s="8"/>
      <c r="X22" s="7"/>
      <c r="Y22" s="5">
        <v>0</v>
      </c>
      <c r="Z22" s="8"/>
      <c r="AB22" s="5">
        <v>7500</v>
      </c>
      <c r="AC22" s="8"/>
      <c r="AE22" s="5">
        <v>5053.45</v>
      </c>
      <c r="AF22" s="8"/>
    </row>
    <row r="23" spans="1:32" x14ac:dyDescent="0.2">
      <c r="A23" s="70" t="s">
        <v>580</v>
      </c>
      <c r="D23" s="44">
        <f>-'kolommenbalans 2019'!M53</f>
        <v>500</v>
      </c>
      <c r="E23" s="8"/>
      <c r="G23" s="44">
        <f>-'kolommenbalans 2018'!H39</f>
        <v>15000</v>
      </c>
      <c r="H23" s="8"/>
      <c r="I23" s="7"/>
      <c r="J23" s="44"/>
      <c r="K23" s="8"/>
      <c r="L23" s="7"/>
      <c r="M23" s="44"/>
      <c r="N23" s="8"/>
      <c r="O23" s="7"/>
      <c r="P23" s="44"/>
      <c r="Q23" s="8"/>
      <c r="R23" s="7"/>
      <c r="S23" s="5"/>
      <c r="T23" s="8"/>
      <c r="U23" s="7"/>
      <c r="V23" s="5"/>
      <c r="W23" s="8"/>
      <c r="X23" s="7"/>
      <c r="Z23" s="8"/>
      <c r="AB23" s="5"/>
      <c r="AC23" s="8"/>
      <c r="AE23" s="5"/>
      <c r="AF23" s="8"/>
    </row>
    <row r="24" spans="1:32" x14ac:dyDescent="0.2">
      <c r="A24" s="70" t="s">
        <v>579</v>
      </c>
      <c r="D24" s="72">
        <f>+'kolommenbalans 2019'!L24+'kolommenbalans 2019'!L38</f>
        <v>23465.32</v>
      </c>
      <c r="E24" s="8"/>
      <c r="G24" s="72"/>
      <c r="H24" s="8"/>
      <c r="I24" s="7"/>
      <c r="J24" s="44">
        <v>-3000</v>
      </c>
      <c r="K24" s="8"/>
      <c r="L24" s="7"/>
      <c r="M24" s="44">
        <v>2500</v>
      </c>
      <c r="N24" s="8"/>
      <c r="O24" s="7"/>
      <c r="P24" s="44">
        <v>5500</v>
      </c>
      <c r="Q24" s="8"/>
      <c r="R24" s="7"/>
      <c r="S24" s="5"/>
      <c r="T24" s="8"/>
      <c r="U24" s="7"/>
      <c r="V24" s="5"/>
      <c r="W24" s="8"/>
      <c r="X24" s="7"/>
      <c r="Z24" s="8"/>
      <c r="AB24" s="5"/>
      <c r="AC24" s="8"/>
      <c r="AE24" s="5"/>
      <c r="AF24" s="8"/>
    </row>
    <row r="25" spans="1:32" x14ac:dyDescent="0.2">
      <c r="A25" s="99" t="s">
        <v>421</v>
      </c>
      <c r="D25" s="44">
        <v>0</v>
      </c>
      <c r="E25" s="8"/>
      <c r="G25" s="44">
        <v>0</v>
      </c>
      <c r="H25" s="8"/>
      <c r="I25" s="7"/>
      <c r="J25" s="44">
        <v>0</v>
      </c>
      <c r="K25" s="8"/>
      <c r="L25" s="7"/>
      <c r="M25" s="44">
        <v>1021.66</v>
      </c>
      <c r="N25" s="8"/>
      <c r="O25" s="7"/>
      <c r="P25" s="44">
        <v>1252.31</v>
      </c>
      <c r="Q25" s="8"/>
      <c r="R25" s="7"/>
      <c r="S25" s="5"/>
      <c r="T25" s="8"/>
      <c r="U25" s="7"/>
      <c r="V25" s="5"/>
      <c r="W25" s="8"/>
      <c r="X25" s="7"/>
      <c r="Z25" s="8"/>
      <c r="AB25" s="5"/>
      <c r="AC25" s="8"/>
      <c r="AE25" s="5"/>
      <c r="AF25" s="8"/>
    </row>
    <row r="26" spans="1:32" ht="13.5" thickBot="1" x14ac:dyDescent="0.25">
      <c r="A26" t="s">
        <v>5</v>
      </c>
      <c r="D26" s="85">
        <f>+'kolommenbalans 2019'!K43</f>
        <v>253.60000000000002</v>
      </c>
      <c r="E26" s="8"/>
      <c r="G26" s="85">
        <f>+'kolommenbalans concept'!N34</f>
        <v>119.92</v>
      </c>
      <c r="H26" s="8"/>
      <c r="I26" s="7"/>
      <c r="J26" s="85">
        <v>173.56</v>
      </c>
      <c r="K26" s="8"/>
      <c r="L26" s="7"/>
      <c r="M26" s="85">
        <v>334.54</v>
      </c>
      <c r="N26" s="8"/>
      <c r="O26" s="7"/>
      <c r="P26" s="85">
        <v>163.28</v>
      </c>
      <c r="Q26" s="8"/>
      <c r="R26" s="7"/>
      <c r="S26" s="6">
        <v>112</v>
      </c>
      <c r="T26" s="8"/>
      <c r="U26" s="7"/>
      <c r="V26" s="6">
        <v>100</v>
      </c>
      <c r="W26" s="8"/>
      <c r="X26" s="7"/>
      <c r="Y26" s="9" t="s">
        <v>351</v>
      </c>
      <c r="Z26" s="8"/>
      <c r="AB26" s="6">
        <v>100</v>
      </c>
      <c r="AC26" s="8"/>
      <c r="AE26" s="6">
        <v>74.56</v>
      </c>
      <c r="AF26" s="8"/>
    </row>
    <row r="27" spans="1:32" x14ac:dyDescent="0.2">
      <c r="D27" s="44"/>
      <c r="E27" s="8"/>
      <c r="G27" s="44"/>
      <c r="H27" s="8"/>
      <c r="I27" s="7"/>
      <c r="J27" s="44"/>
      <c r="K27" s="8"/>
      <c r="L27" s="7"/>
      <c r="M27" s="44"/>
      <c r="N27" s="8"/>
      <c r="O27" s="7"/>
      <c r="P27" s="44"/>
      <c r="Q27" s="8"/>
      <c r="R27" s="7"/>
      <c r="S27" s="5"/>
      <c r="T27" s="8"/>
      <c r="U27" s="7"/>
      <c r="V27" s="5"/>
      <c r="W27" s="8"/>
      <c r="X27" s="7"/>
      <c r="Z27" s="8"/>
      <c r="AB27" s="5"/>
      <c r="AC27" s="8"/>
      <c r="AE27" s="5"/>
      <c r="AF27" s="8"/>
    </row>
    <row r="28" spans="1:32" ht="19.5" customHeight="1" x14ac:dyDescent="0.2">
      <c r="A28" s="3" t="s">
        <v>13</v>
      </c>
      <c r="D28" s="86"/>
      <c r="E28" s="8">
        <f>SUM(D21:D26)</f>
        <v>24218.92</v>
      </c>
      <c r="G28" s="86"/>
      <c r="H28" s="8">
        <f>SUM(G21:G26)</f>
        <v>27888.489999999998</v>
      </c>
      <c r="I28" s="7"/>
      <c r="J28" s="86"/>
      <c r="K28" s="8">
        <v>12025.5</v>
      </c>
      <c r="L28" s="7"/>
      <c r="M28" s="86"/>
      <c r="N28" s="8">
        <f>SUM(M21:M26)</f>
        <v>36127.860000000008</v>
      </c>
      <c r="O28" s="7"/>
      <c r="P28" s="86"/>
      <c r="Q28" s="8">
        <v>19663.280000000002</v>
      </c>
      <c r="R28" s="7"/>
      <c r="S28" s="7"/>
      <c r="T28" s="8">
        <f>SUM(S21:S26)</f>
        <v>6112</v>
      </c>
      <c r="U28" s="7"/>
      <c r="V28" s="7"/>
      <c r="W28" s="8">
        <f>SUM(V21:V26)</f>
        <v>100</v>
      </c>
      <c r="X28" s="7"/>
      <c r="Y28" s="7"/>
      <c r="Z28" s="8">
        <f>SUM(Y21:Y26)</f>
        <v>0</v>
      </c>
      <c r="AB28" s="7"/>
      <c r="AC28" s="8">
        <f>+AB26+AB22</f>
        <v>7600</v>
      </c>
      <c r="AE28" s="7"/>
      <c r="AF28" s="8">
        <v>5128.01</v>
      </c>
    </row>
    <row r="29" spans="1:32" x14ac:dyDescent="0.2">
      <c r="D29" s="44"/>
      <c r="E29" s="8"/>
      <c r="G29" s="44"/>
      <c r="H29" s="8"/>
      <c r="I29" s="7"/>
      <c r="J29" s="44"/>
      <c r="K29" s="8"/>
      <c r="L29" s="7"/>
      <c r="M29" s="44"/>
      <c r="N29" s="8"/>
      <c r="O29" s="7"/>
      <c r="P29" s="44"/>
      <c r="Q29" s="8"/>
      <c r="R29" s="7"/>
      <c r="S29" s="5"/>
      <c r="T29" s="8"/>
      <c r="U29" s="7"/>
      <c r="V29" s="5"/>
      <c r="W29" s="8"/>
      <c r="X29" s="7"/>
      <c r="Z29" s="8"/>
      <c r="AB29" s="5"/>
      <c r="AC29" s="8"/>
      <c r="AE29" s="5"/>
      <c r="AF29" s="8"/>
    </row>
    <row r="30" spans="1:32" ht="19.5" customHeight="1" x14ac:dyDescent="0.2">
      <c r="A30" s="1" t="s">
        <v>15</v>
      </c>
      <c r="D30" s="86"/>
      <c r="E30" s="8">
        <f>+E19-E28</f>
        <v>7000</v>
      </c>
      <c r="G30" s="86"/>
      <c r="H30" s="8">
        <f>+H19-H28</f>
        <v>-7968.3300000000017</v>
      </c>
      <c r="I30" s="7"/>
      <c r="J30" s="86"/>
      <c r="K30" s="8">
        <v>8414.6200000000026</v>
      </c>
      <c r="L30" s="7"/>
      <c r="M30" s="86"/>
      <c r="N30" s="8">
        <f>+N19-N28</f>
        <v>-17660.840000000007</v>
      </c>
      <c r="O30" s="7"/>
      <c r="P30" s="86"/>
      <c r="Q30" s="8">
        <v>2053.8299999999981</v>
      </c>
      <c r="R30" s="7"/>
      <c r="S30" s="7"/>
      <c r="T30" s="8">
        <f>+T19-T28</f>
        <v>1571</v>
      </c>
      <c r="U30" s="7"/>
      <c r="V30" s="7"/>
      <c r="W30" s="8">
        <f>+W19-W28</f>
        <v>7512</v>
      </c>
      <c r="X30" s="7"/>
      <c r="Y30" s="7"/>
      <c r="Z30" s="8">
        <f>+Z19-Z28</f>
        <v>7562</v>
      </c>
      <c r="AB30" s="7"/>
      <c r="AC30" s="8">
        <f>+AC19-AC28</f>
        <v>0</v>
      </c>
      <c r="AE30" s="7"/>
      <c r="AF30" s="8">
        <v>2458.5500000000002</v>
      </c>
    </row>
    <row r="31" spans="1:32" x14ac:dyDescent="0.2">
      <c r="D31" s="44"/>
      <c r="E31" s="7"/>
      <c r="G31" s="44"/>
      <c r="H31" s="7"/>
      <c r="I31" s="7"/>
      <c r="J31" s="44"/>
      <c r="K31" s="7"/>
      <c r="L31" s="7"/>
      <c r="M31" s="44"/>
      <c r="N31" s="7"/>
      <c r="O31" s="7"/>
      <c r="P31" s="44"/>
      <c r="Q31" s="7"/>
      <c r="R31" s="7"/>
      <c r="S31" s="5"/>
      <c r="T31" s="7"/>
      <c r="U31" s="7"/>
      <c r="V31" s="5"/>
      <c r="W31" s="7"/>
      <c r="X31" s="7"/>
      <c r="Z31" s="7"/>
      <c r="AB31" s="5"/>
      <c r="AC31" s="7"/>
      <c r="AE31" s="5"/>
      <c r="AF31" s="7"/>
    </row>
    <row r="32" spans="1:32" x14ac:dyDescent="0.2">
      <c r="A32" s="20" t="s">
        <v>16</v>
      </c>
      <c r="D32" s="44"/>
      <c r="E32" s="7"/>
      <c r="G32" s="44"/>
      <c r="H32" s="7"/>
      <c r="I32" s="7"/>
      <c r="J32" s="44"/>
      <c r="K32" s="7"/>
      <c r="L32" s="7"/>
      <c r="M32" s="44"/>
      <c r="N32" s="7"/>
      <c r="O32" s="7"/>
      <c r="P32" s="44"/>
      <c r="Q32" s="7"/>
      <c r="R32" s="7"/>
      <c r="S32" s="5"/>
      <c r="T32" s="7"/>
      <c r="U32" s="7"/>
      <c r="V32" s="5"/>
      <c r="W32" s="7"/>
      <c r="X32" s="7"/>
      <c r="Z32" s="7"/>
      <c r="AB32" s="5"/>
      <c r="AC32" s="7"/>
      <c r="AE32" s="5"/>
      <c r="AF32" s="7"/>
    </row>
    <row r="33" spans="1:32" x14ac:dyDescent="0.2">
      <c r="A33" t="s">
        <v>17</v>
      </c>
      <c r="D33" s="44">
        <v>0</v>
      </c>
      <c r="E33" s="8"/>
      <c r="G33" s="44">
        <v>0</v>
      </c>
      <c r="H33" s="8"/>
      <c r="I33" s="7"/>
      <c r="J33" s="44">
        <v>0</v>
      </c>
      <c r="K33" s="8"/>
      <c r="L33" s="7"/>
      <c r="M33" s="44">
        <v>0</v>
      </c>
      <c r="N33" s="8"/>
      <c r="O33" s="7"/>
      <c r="P33" s="44">
        <v>0</v>
      </c>
      <c r="Q33" s="8"/>
      <c r="R33" s="7"/>
      <c r="S33" s="5">
        <v>0</v>
      </c>
      <c r="T33" s="8"/>
      <c r="U33" s="7"/>
      <c r="V33" s="5">
        <v>7500</v>
      </c>
      <c r="W33" s="8"/>
      <c r="X33" s="7"/>
      <c r="Y33" s="5">
        <v>7500</v>
      </c>
      <c r="Z33" s="8"/>
      <c r="AB33" s="5">
        <v>0</v>
      </c>
      <c r="AC33" s="8"/>
      <c r="AE33" s="5">
        <v>2458.5500000000002</v>
      </c>
      <c r="AF33" s="8"/>
    </row>
    <row r="34" spans="1:32" ht="13.5" thickBot="1" x14ac:dyDescent="0.25">
      <c r="A34" t="s">
        <v>28</v>
      </c>
      <c r="D34" s="85">
        <f>+E30</f>
        <v>7000</v>
      </c>
      <c r="E34" s="8"/>
      <c r="G34" s="85">
        <f>+H30</f>
        <v>-7968.3300000000017</v>
      </c>
      <c r="H34" s="8"/>
      <c r="I34" s="7"/>
      <c r="J34" s="85">
        <v>8414.6200000000026</v>
      </c>
      <c r="K34" s="8"/>
      <c r="L34" s="7"/>
      <c r="M34" s="85">
        <v>17660.84</v>
      </c>
      <c r="N34" s="8"/>
      <c r="O34" s="7"/>
      <c r="P34" s="85">
        <v>2053.8299999999981</v>
      </c>
      <c r="Q34" s="8"/>
      <c r="R34" s="7"/>
      <c r="S34" s="6">
        <v>1570</v>
      </c>
      <c r="T34" s="8"/>
      <c r="U34" s="7"/>
      <c r="V34" s="6">
        <v>0</v>
      </c>
      <c r="W34" s="8"/>
      <c r="X34" s="7"/>
      <c r="Y34" s="6">
        <v>0</v>
      </c>
      <c r="Z34" s="8"/>
      <c r="AB34" s="6">
        <f>+AC30</f>
        <v>0</v>
      </c>
      <c r="AC34" s="8"/>
      <c r="AE34" s="9">
        <v>0</v>
      </c>
      <c r="AF34" s="8"/>
    </row>
    <row r="35" spans="1:32" ht="19.5" customHeight="1" x14ac:dyDescent="0.2">
      <c r="A35" s="3"/>
      <c r="D35" s="86"/>
      <c r="E35" s="8">
        <f>+D33+D34</f>
        <v>7000</v>
      </c>
      <c r="G35" s="86"/>
      <c r="H35" s="8">
        <f>+G33+G34</f>
        <v>-7968.3300000000017</v>
      </c>
      <c r="I35" s="7"/>
      <c r="J35" s="86"/>
      <c r="K35" s="8">
        <v>8414.6200000000026</v>
      </c>
      <c r="L35" s="7"/>
      <c r="M35" s="86"/>
      <c r="N35" s="8">
        <f>+M33+M34</f>
        <v>17660.84</v>
      </c>
      <c r="O35" s="7"/>
      <c r="P35" s="86"/>
      <c r="Q35" s="8">
        <v>2053.8299999999981</v>
      </c>
      <c r="R35" s="7"/>
      <c r="S35" s="7"/>
      <c r="T35" s="8">
        <f>+S33+S34</f>
        <v>1570</v>
      </c>
      <c r="U35" s="7"/>
      <c r="V35" s="7"/>
      <c r="W35" s="8">
        <f>+V33+V34</f>
        <v>7500</v>
      </c>
      <c r="X35" s="7"/>
      <c r="Y35" s="7"/>
      <c r="Z35" s="8">
        <f>+Y33+Y34</f>
        <v>7500</v>
      </c>
      <c r="AB35" s="7"/>
      <c r="AC35" s="8">
        <f>+AB34+AB33</f>
        <v>0</v>
      </c>
      <c r="AE35" s="7"/>
      <c r="AF35" s="8">
        <v>2458.5500000000002</v>
      </c>
    </row>
    <row r="36" spans="1:32" ht="19.5" customHeight="1" x14ac:dyDescent="0.2">
      <c r="A36" s="3"/>
      <c r="C36" s="47"/>
      <c r="D36" s="86"/>
      <c r="E36" s="8"/>
      <c r="G36" s="86"/>
      <c r="H36" s="8"/>
      <c r="I36" s="7"/>
      <c r="J36" s="86"/>
      <c r="K36" s="8"/>
      <c r="L36" s="7"/>
      <c r="M36" s="86"/>
      <c r="N36" s="8"/>
      <c r="O36" s="7"/>
      <c r="P36" s="86"/>
      <c r="Q36" s="8"/>
      <c r="R36" s="7"/>
      <c r="S36" s="7"/>
      <c r="T36" s="8"/>
      <c r="U36" s="7"/>
      <c r="V36" s="7"/>
      <c r="W36" s="8"/>
      <c r="X36" s="7"/>
      <c r="Y36" s="7"/>
      <c r="Z36" s="8"/>
      <c r="AB36" s="7"/>
      <c r="AC36" s="8"/>
      <c r="AE36" s="7"/>
      <c r="AF36" s="8"/>
    </row>
    <row r="37" spans="1:32" ht="19.5" customHeight="1" x14ac:dyDescent="0.2">
      <c r="A37" s="3"/>
      <c r="C37" s="112"/>
      <c r="E37" s="47"/>
      <c r="I37" s="7"/>
      <c r="L37" s="7"/>
      <c r="O37" s="7"/>
      <c r="R37" s="7"/>
      <c r="U37" s="7"/>
      <c r="X37" s="7"/>
      <c r="Y37" s="7"/>
      <c r="Z37" s="7"/>
    </row>
    <row r="38" spans="1:32" x14ac:dyDescent="0.2">
      <c r="A38" s="20" t="s">
        <v>43</v>
      </c>
      <c r="V38" s="114"/>
    </row>
    <row r="39" spans="1:32" x14ac:dyDescent="0.2">
      <c r="A39" t="s">
        <v>47</v>
      </c>
      <c r="D39" s="95"/>
      <c r="G39" s="95"/>
      <c r="J39" s="95"/>
      <c r="M39" s="95"/>
      <c r="P39" s="96"/>
      <c r="T39" s="113"/>
    </row>
    <row r="40" spans="1:32" x14ac:dyDescent="0.2">
      <c r="A40" s="76"/>
      <c r="B40" s="70" t="s">
        <v>605</v>
      </c>
      <c r="C40" s="76"/>
      <c r="D40" s="87"/>
      <c r="E40" s="76"/>
      <c r="F40" s="76"/>
      <c r="G40" s="87"/>
      <c r="H40" s="76"/>
      <c r="I40" s="76"/>
      <c r="J40" s="87"/>
      <c r="K40" s="76"/>
      <c r="L40" s="76"/>
      <c r="M40" s="87"/>
      <c r="N40" s="76"/>
      <c r="O40" s="76"/>
      <c r="P40" s="88"/>
      <c r="Q40" s="76"/>
      <c r="R40" s="76"/>
      <c r="S40" s="76"/>
      <c r="T40" s="113">
        <v>7500</v>
      </c>
      <c r="W40" s="76"/>
      <c r="X40" s="76"/>
    </row>
    <row r="41" spans="1:32" x14ac:dyDescent="0.2">
      <c r="A41" s="76"/>
      <c r="B41" s="70" t="s">
        <v>606</v>
      </c>
      <c r="C41" s="76"/>
      <c r="D41" s="87"/>
      <c r="E41" s="76"/>
      <c r="F41" s="76"/>
      <c r="G41" s="87"/>
      <c r="H41" s="76"/>
      <c r="I41" s="76"/>
      <c r="J41" s="87"/>
      <c r="K41" s="76"/>
      <c r="L41" s="76"/>
      <c r="M41" s="87"/>
      <c r="N41" s="76"/>
      <c r="O41" s="76"/>
      <c r="P41" s="88"/>
      <c r="Q41" s="76"/>
      <c r="R41" s="76"/>
      <c r="S41" s="76"/>
      <c r="T41" s="136">
        <f>+'kolommenbalans 2019'!L24+'kolommenbalans 2019'!L38</f>
        <v>23465.32</v>
      </c>
      <c r="W41" s="76"/>
      <c r="X41" s="76"/>
    </row>
    <row r="42" spans="1:32" x14ac:dyDescent="0.2">
      <c r="A42" s="76"/>
      <c r="C42" s="76"/>
      <c r="D42" s="87"/>
      <c r="E42" s="76"/>
      <c r="F42" s="76"/>
      <c r="G42" s="87"/>
      <c r="H42" s="76"/>
      <c r="I42" s="76"/>
      <c r="J42" s="87"/>
      <c r="K42" s="76"/>
      <c r="L42" s="76"/>
      <c r="M42" s="87"/>
      <c r="N42" s="76"/>
      <c r="O42" s="76"/>
      <c r="P42" s="88"/>
      <c r="Q42" s="76"/>
      <c r="R42" s="76"/>
      <c r="S42" s="76"/>
      <c r="T42" s="113">
        <f>+T41+T40</f>
        <v>30965.32</v>
      </c>
      <c r="W42" s="76"/>
      <c r="X42" s="76"/>
    </row>
    <row r="43" spans="1:32" x14ac:dyDescent="0.2">
      <c r="A43" s="70" t="s">
        <v>414</v>
      </c>
      <c r="B43" s="76"/>
      <c r="C43" s="76"/>
      <c r="D43" s="87"/>
      <c r="E43" s="76"/>
      <c r="F43" s="76"/>
      <c r="G43" s="87"/>
      <c r="H43" s="76"/>
      <c r="I43" s="76"/>
      <c r="J43" s="87"/>
      <c r="K43" s="76"/>
      <c r="L43" s="76"/>
      <c r="M43" s="87"/>
      <c r="N43" s="76"/>
      <c r="O43" s="76"/>
      <c r="P43" s="88"/>
      <c r="Q43" s="76"/>
      <c r="R43" s="76"/>
      <c r="S43" s="76"/>
      <c r="T43" s="113"/>
      <c r="W43" s="76"/>
      <c r="X43" s="76"/>
    </row>
    <row r="44" spans="1:32" x14ac:dyDescent="0.2">
      <c r="B44" s="70" t="s">
        <v>107</v>
      </c>
      <c r="C44" s="76"/>
      <c r="D44" s="87"/>
      <c r="E44" s="76"/>
      <c r="F44" s="76"/>
      <c r="G44" s="87"/>
      <c r="H44" s="76"/>
      <c r="I44" s="76"/>
      <c r="J44" s="87"/>
      <c r="K44" s="76"/>
      <c r="L44" s="76"/>
      <c r="M44" s="87"/>
      <c r="N44" s="76"/>
      <c r="O44" s="76"/>
      <c r="P44" s="88"/>
      <c r="Q44" s="76"/>
      <c r="R44" s="76"/>
      <c r="S44" s="76"/>
      <c r="T44" s="76"/>
      <c r="U44" s="76"/>
      <c r="V44" s="114"/>
      <c r="W44" s="76"/>
      <c r="X44" s="76"/>
    </row>
    <row r="45" spans="1:32" x14ac:dyDescent="0.2">
      <c r="A45" s="76"/>
      <c r="B45" s="70" t="s">
        <v>607</v>
      </c>
      <c r="C45" s="76"/>
      <c r="D45" s="72">
        <f>-'kolommenbalans 2018'!K38</f>
        <v>0</v>
      </c>
      <c r="E45" s="72">
        <f>+'overloop 2019'!C4+'overloop 2019'!C6+'overloop 2019'!C8+'overloop 2019'!C10+'overloop 2019'!C12+'overloop 2019'!C13</f>
        <v>126.19999999999999</v>
      </c>
      <c r="F45" s="76"/>
      <c r="H45" s="76"/>
      <c r="I45" s="76"/>
      <c r="K45" s="76"/>
      <c r="L45" s="76"/>
      <c r="M45" s="87"/>
      <c r="N45" s="76"/>
      <c r="O45" s="76"/>
      <c r="P45" s="88"/>
      <c r="Q45" s="76"/>
      <c r="R45" s="76"/>
      <c r="S45" s="76"/>
      <c r="T45" s="76"/>
      <c r="U45" s="76"/>
      <c r="V45" s="76"/>
      <c r="W45" s="76"/>
      <c r="X45" s="76"/>
    </row>
    <row r="46" spans="1:32" x14ac:dyDescent="0.2">
      <c r="A46" s="76"/>
      <c r="B46" s="70" t="s">
        <v>608</v>
      </c>
      <c r="C46" s="76"/>
      <c r="D46" s="72"/>
      <c r="E46" s="72">
        <f>+'overloop 2019'!C14</f>
        <v>59.82</v>
      </c>
      <c r="F46" s="76"/>
      <c r="H46" s="76"/>
      <c r="I46" s="76"/>
      <c r="K46" s="76"/>
      <c r="L46" s="76"/>
      <c r="M46" s="87"/>
      <c r="N46" s="76"/>
      <c r="O46" s="76"/>
      <c r="P46" s="88"/>
      <c r="Q46" s="76"/>
      <c r="R46" s="76"/>
      <c r="S46" s="76"/>
      <c r="T46" s="76"/>
      <c r="U46" s="76"/>
      <c r="V46" s="76"/>
      <c r="W46" s="76"/>
      <c r="X46" s="76"/>
    </row>
    <row r="47" spans="1:32" ht="15" x14ac:dyDescent="0.35">
      <c r="A47" s="76"/>
      <c r="B47" s="70" t="s">
        <v>609</v>
      </c>
      <c r="C47" s="76"/>
      <c r="D47" s="72"/>
      <c r="E47" s="45">
        <f>+'overloop 2019'!C16</f>
        <v>67.58</v>
      </c>
      <c r="F47" s="76"/>
      <c r="H47" s="76"/>
      <c r="I47" s="76"/>
      <c r="K47" s="76"/>
      <c r="L47" s="76"/>
      <c r="M47" s="87"/>
      <c r="N47" s="76"/>
      <c r="O47" s="76"/>
      <c r="P47" s="88"/>
      <c r="Q47" s="76"/>
      <c r="R47" s="76"/>
      <c r="S47" s="76"/>
      <c r="T47" s="76"/>
      <c r="U47" s="76"/>
      <c r="V47" s="76"/>
      <c r="W47" s="76"/>
      <c r="X47" s="76"/>
    </row>
    <row r="48" spans="1:32" x14ac:dyDescent="0.2">
      <c r="A48" s="76"/>
      <c r="B48" s="70"/>
      <c r="C48" s="76"/>
      <c r="D48" s="72"/>
      <c r="E48" s="79">
        <f>SUM(E45:E47)</f>
        <v>253.59999999999997</v>
      </c>
      <c r="F48" s="76"/>
      <c r="G48" s="72"/>
      <c r="H48" s="76"/>
      <c r="I48" s="76"/>
      <c r="K48" s="76"/>
      <c r="L48" s="76"/>
      <c r="M48" s="87"/>
      <c r="N48" s="76"/>
      <c r="O48" s="76"/>
      <c r="P48" s="88"/>
      <c r="Q48" s="76"/>
      <c r="R48" s="76"/>
      <c r="S48" s="76"/>
      <c r="T48" s="76"/>
      <c r="U48" s="76"/>
      <c r="V48" s="76"/>
      <c r="W48" s="76"/>
      <c r="X48" s="76"/>
    </row>
    <row r="49" spans="1:32" x14ac:dyDescent="0.2">
      <c r="A49" s="76"/>
      <c r="B49" s="76"/>
      <c r="C49" s="76"/>
      <c r="D49" s="87"/>
      <c r="E49" s="76"/>
      <c r="F49" s="76"/>
      <c r="G49" s="87"/>
      <c r="H49" s="76"/>
      <c r="I49" s="76"/>
      <c r="J49" s="87"/>
      <c r="K49" s="76"/>
      <c r="L49" s="76"/>
      <c r="M49" s="87"/>
      <c r="N49" s="76"/>
      <c r="O49" s="76"/>
      <c r="P49" s="88"/>
      <c r="Q49" s="76"/>
      <c r="R49" s="76"/>
      <c r="S49" s="76"/>
      <c r="T49" s="76"/>
      <c r="U49" s="76"/>
      <c r="V49" s="76"/>
      <c r="W49" s="76"/>
      <c r="X49" s="76"/>
    </row>
    <row r="50" spans="1:32" x14ac:dyDescent="0.2">
      <c r="A50" s="70" t="s">
        <v>46</v>
      </c>
      <c r="B50" s="70"/>
      <c r="C50" s="70"/>
      <c r="D50" s="87"/>
      <c r="E50" s="76"/>
      <c r="F50" s="70"/>
      <c r="G50" s="87"/>
      <c r="H50" s="76"/>
      <c r="I50" s="76"/>
      <c r="J50" s="87"/>
      <c r="K50" s="76"/>
      <c r="L50" s="76"/>
      <c r="M50" s="87"/>
      <c r="N50" s="76"/>
      <c r="O50" s="76"/>
      <c r="P50" s="88"/>
      <c r="Q50" s="76"/>
      <c r="R50" s="76"/>
      <c r="S50" s="76"/>
      <c r="T50" s="76"/>
      <c r="U50" s="76"/>
      <c r="V50" s="76"/>
      <c r="W50" s="76"/>
      <c r="X50" s="76"/>
      <c r="AB50" s="5"/>
      <c r="AE50" s="5"/>
    </row>
    <row r="51" spans="1:32" x14ac:dyDescent="0.2">
      <c r="A51" s="70"/>
      <c r="B51" s="255" t="s">
        <v>610</v>
      </c>
      <c r="C51" s="256"/>
      <c r="D51" s="256"/>
      <c r="E51" s="256"/>
      <c r="F51" s="256"/>
      <c r="G51" s="256"/>
      <c r="H51" s="256"/>
      <c r="I51" s="256"/>
      <c r="J51" s="256"/>
      <c r="K51" s="256"/>
      <c r="L51" s="256"/>
      <c r="M51" s="256"/>
      <c r="N51" s="256"/>
      <c r="O51" s="256"/>
      <c r="P51" s="256"/>
      <c r="Q51" s="256"/>
      <c r="R51" s="256"/>
      <c r="S51" s="256"/>
      <c r="T51" s="256"/>
      <c r="U51" s="256"/>
      <c r="V51" s="76"/>
      <c r="W51" s="76"/>
      <c r="X51" s="76"/>
      <c r="AB51" s="5"/>
      <c r="AC51" s="44"/>
      <c r="AE51" s="5"/>
      <c r="AF51" s="44"/>
    </row>
    <row r="52" spans="1:32" ht="27" customHeight="1" x14ac:dyDescent="0.2">
      <c r="A52" s="70"/>
      <c r="B52" s="255" t="s">
        <v>613</v>
      </c>
      <c r="C52" s="256"/>
      <c r="D52" s="256"/>
      <c r="E52" s="256"/>
      <c r="F52" s="256"/>
      <c r="G52" s="256"/>
      <c r="H52" s="256"/>
      <c r="I52" s="256"/>
      <c r="J52" s="256"/>
      <c r="K52" s="256"/>
      <c r="L52" s="256"/>
      <c r="M52" s="256"/>
      <c r="N52" s="256"/>
      <c r="O52" s="256"/>
      <c r="P52" s="256"/>
      <c r="Q52" s="256"/>
      <c r="R52" s="256"/>
      <c r="S52" s="256"/>
      <c r="T52" s="256"/>
      <c r="U52" s="256"/>
      <c r="V52" s="98"/>
      <c r="W52" s="98"/>
      <c r="X52" s="76"/>
      <c r="AB52" s="5"/>
      <c r="AC52" s="44"/>
      <c r="AE52" s="5"/>
      <c r="AF52" s="44"/>
    </row>
    <row r="53" spans="1:32" x14ac:dyDescent="0.2">
      <c r="A53" s="70"/>
      <c r="B53" s="257" t="s">
        <v>615</v>
      </c>
      <c r="C53" s="238"/>
      <c r="D53" s="238"/>
      <c r="E53" s="238"/>
      <c r="F53" s="238"/>
      <c r="G53" s="238"/>
      <c r="H53" s="238"/>
      <c r="I53" s="238"/>
      <c r="J53" s="238"/>
      <c r="K53" s="238"/>
      <c r="L53" s="238"/>
      <c r="M53" s="238"/>
      <c r="N53" s="238"/>
      <c r="O53" s="238"/>
      <c r="P53" s="238"/>
      <c r="Q53" s="238"/>
      <c r="R53" s="238"/>
      <c r="S53" s="238"/>
      <c r="T53" s="238"/>
      <c r="U53" s="238"/>
      <c r="V53" s="98"/>
      <c r="W53" s="98"/>
      <c r="X53" s="76"/>
      <c r="AB53" s="5"/>
      <c r="AC53" s="44"/>
      <c r="AE53" s="5"/>
      <c r="AF53" s="44"/>
    </row>
    <row r="54" spans="1:32" ht="26.1" customHeight="1" x14ac:dyDescent="0.2">
      <c r="A54" s="70"/>
      <c r="B54" s="255" t="s">
        <v>614</v>
      </c>
      <c r="C54" s="255"/>
      <c r="D54" s="255"/>
      <c r="E54" s="255"/>
      <c r="F54" s="255"/>
      <c r="G54" s="255"/>
      <c r="H54" s="255"/>
      <c r="I54" s="255"/>
      <c r="J54" s="255"/>
      <c r="K54" s="255"/>
      <c r="L54" s="255"/>
      <c r="M54" s="255"/>
      <c r="N54" s="255"/>
      <c r="O54" s="255"/>
      <c r="P54" s="255"/>
      <c r="Q54" s="255"/>
      <c r="R54" s="255"/>
      <c r="S54" s="255"/>
      <c r="T54" s="255"/>
      <c r="U54" s="255"/>
      <c r="V54" s="98"/>
      <c r="W54" s="98"/>
      <c r="X54" s="76"/>
      <c r="AB54" s="5"/>
      <c r="AC54" s="44"/>
      <c r="AE54" s="5"/>
      <c r="AF54" s="44"/>
    </row>
    <row r="55" spans="1:32" ht="26.1" customHeight="1" x14ac:dyDescent="0.2">
      <c r="A55" s="70"/>
      <c r="B55" s="254" t="s">
        <v>631</v>
      </c>
      <c r="C55" s="256"/>
      <c r="D55" s="256"/>
      <c r="E55" s="256"/>
      <c r="F55" s="256"/>
      <c r="G55" s="256"/>
      <c r="H55" s="256"/>
      <c r="I55" s="256"/>
      <c r="J55" s="256"/>
      <c r="K55" s="256"/>
      <c r="L55" s="256"/>
      <c r="M55" s="256"/>
      <c r="N55" s="256"/>
      <c r="O55" s="256"/>
      <c r="P55" s="256"/>
      <c r="Q55" s="256"/>
      <c r="R55" s="256"/>
      <c r="S55" s="256"/>
      <c r="T55" s="256"/>
      <c r="U55" s="256"/>
      <c r="V55" s="98"/>
      <c r="W55" s="98"/>
      <c r="X55" s="76"/>
      <c r="AB55" s="5"/>
      <c r="AC55" s="44"/>
      <c r="AE55" s="5"/>
      <c r="AF55" s="44"/>
    </row>
    <row r="56" spans="1:32" x14ac:dyDescent="0.2">
      <c r="A56" s="70"/>
      <c r="B56" s="147" t="s">
        <v>635</v>
      </c>
      <c r="C56" s="138"/>
      <c r="D56" s="138"/>
      <c r="E56" s="138"/>
      <c r="F56" s="138"/>
      <c r="G56" s="138"/>
      <c r="H56" s="138"/>
      <c r="I56" s="138"/>
      <c r="J56" s="138"/>
      <c r="K56" s="138"/>
      <c r="L56" s="138"/>
      <c r="M56" s="138"/>
      <c r="N56" s="138"/>
      <c r="O56" s="138"/>
      <c r="P56" s="138"/>
      <c r="Q56" s="138"/>
      <c r="R56" s="138"/>
      <c r="S56" s="138"/>
      <c r="T56" s="138"/>
      <c r="U56" s="138"/>
      <c r="V56" s="98"/>
      <c r="W56" s="98"/>
      <c r="X56" s="76"/>
      <c r="AB56" s="5"/>
      <c r="AC56" s="44"/>
      <c r="AE56" s="5"/>
      <c r="AF56" s="44"/>
    </row>
    <row r="57" spans="1:32" x14ac:dyDescent="0.2">
      <c r="E57" s="76"/>
      <c r="H57" s="76"/>
      <c r="I57" s="76"/>
      <c r="J57" s="72"/>
      <c r="K57" s="76"/>
      <c r="L57" s="76"/>
      <c r="M57" s="87"/>
      <c r="N57" s="76"/>
      <c r="O57" s="76"/>
      <c r="P57" s="88"/>
      <c r="Q57" s="76"/>
      <c r="R57" s="76"/>
      <c r="S57" s="76"/>
      <c r="T57" s="76"/>
      <c r="U57" s="76"/>
      <c r="V57" s="76"/>
      <c r="W57" s="76"/>
      <c r="X57" s="76"/>
      <c r="AB57" s="5"/>
      <c r="AC57" s="44"/>
      <c r="AE57" s="5"/>
      <c r="AF57" s="44"/>
    </row>
    <row r="58" spans="1:32" x14ac:dyDescent="0.2">
      <c r="A58" s="114" t="s">
        <v>489</v>
      </c>
      <c r="E58" s="76"/>
      <c r="H58" s="76"/>
      <c r="I58" s="76"/>
      <c r="J58" s="72"/>
      <c r="K58" s="76"/>
      <c r="L58" s="76"/>
      <c r="M58" s="87"/>
      <c r="N58" s="76"/>
      <c r="O58" s="76"/>
      <c r="P58" s="88"/>
      <c r="Q58" s="76"/>
      <c r="R58" s="76"/>
      <c r="S58" s="76"/>
      <c r="T58" s="76"/>
      <c r="U58" s="76"/>
      <c r="V58" s="76"/>
      <c r="W58" s="76"/>
      <c r="X58" s="76"/>
      <c r="AB58" s="5"/>
      <c r="AC58" s="44"/>
      <c r="AE58" s="5"/>
      <c r="AF58" s="44"/>
    </row>
    <row r="59" spans="1:32" x14ac:dyDescent="0.2">
      <c r="A59" s="101"/>
      <c r="B59" s="70" t="s">
        <v>617</v>
      </c>
      <c r="D59" s="72"/>
      <c r="E59" s="72">
        <f>-'kolommenbalans 2019'!F5</f>
        <v>17880</v>
      </c>
      <c r="H59" s="76"/>
      <c r="I59" s="76"/>
      <c r="J59" s="72"/>
      <c r="K59" s="76"/>
      <c r="L59" s="76"/>
      <c r="M59" s="87"/>
      <c r="N59" s="76"/>
      <c r="O59" s="76"/>
      <c r="P59" s="88"/>
      <c r="Q59" s="76"/>
      <c r="R59" s="76"/>
      <c r="S59" s="76"/>
      <c r="T59" s="76"/>
      <c r="U59" s="76"/>
      <c r="V59" s="76"/>
      <c r="W59" s="76"/>
      <c r="X59" s="76"/>
      <c r="AB59" s="5"/>
      <c r="AC59" s="44"/>
      <c r="AE59" s="5"/>
      <c r="AF59" s="44"/>
    </row>
    <row r="60" spans="1:32" x14ac:dyDescent="0.2">
      <c r="A60" s="101"/>
      <c r="B60" s="70" t="s">
        <v>611</v>
      </c>
      <c r="D60" s="72"/>
      <c r="E60" s="72"/>
      <c r="H60" s="76"/>
      <c r="I60" s="76"/>
      <c r="J60" s="72"/>
      <c r="K60" s="76"/>
      <c r="L60" s="76"/>
      <c r="M60" s="87"/>
      <c r="N60" s="76"/>
      <c r="O60" s="76"/>
      <c r="P60" s="88"/>
      <c r="Q60" s="76"/>
      <c r="R60" s="76"/>
      <c r="S60" s="76"/>
      <c r="T60" s="76"/>
      <c r="U60" s="76"/>
      <c r="V60" s="76"/>
      <c r="W60" s="76"/>
      <c r="X60" s="76"/>
      <c r="AB60" s="5"/>
      <c r="AC60" s="44"/>
      <c r="AE60" s="5"/>
      <c r="AF60" s="44"/>
    </row>
    <row r="61" spans="1:32" x14ac:dyDescent="0.2">
      <c r="A61" s="101"/>
      <c r="C61" s="70" t="s">
        <v>476</v>
      </c>
      <c r="D61" s="72"/>
      <c r="E61" s="72">
        <v>-960</v>
      </c>
      <c r="F61" s="70"/>
      <c r="H61" s="76"/>
      <c r="I61" s="76"/>
      <c r="J61" s="72"/>
      <c r="K61" s="76"/>
      <c r="L61" s="76"/>
      <c r="M61" s="87"/>
      <c r="N61" s="76"/>
      <c r="O61" s="76"/>
      <c r="P61" s="88"/>
      <c r="Q61" s="76"/>
      <c r="R61" s="76"/>
      <c r="S61" s="76"/>
      <c r="T61" s="76"/>
      <c r="U61" s="76"/>
      <c r="V61" s="76"/>
      <c r="W61" s="76"/>
      <c r="X61" s="76"/>
      <c r="AB61" s="5"/>
      <c r="AC61" s="44"/>
      <c r="AE61" s="5"/>
      <c r="AF61" s="44"/>
    </row>
    <row r="62" spans="1:32" s="5" customFormat="1" x14ac:dyDescent="0.2">
      <c r="A62" s="101"/>
      <c r="B62"/>
      <c r="C62" s="70" t="s">
        <v>560</v>
      </c>
      <c r="D62" s="32"/>
      <c r="E62" s="32">
        <v>-4000</v>
      </c>
      <c r="F62" s="70"/>
      <c r="H62" s="76"/>
      <c r="I62" s="76"/>
      <c r="J62" s="72"/>
      <c r="K62" s="76"/>
      <c r="L62" s="76"/>
      <c r="M62" s="87"/>
      <c r="N62" s="76"/>
      <c r="O62" s="76"/>
      <c r="P62" s="88"/>
      <c r="Q62" s="76"/>
      <c r="R62" s="76"/>
      <c r="S62" s="76"/>
      <c r="T62" s="76"/>
      <c r="U62" s="76"/>
      <c r="V62" s="76"/>
      <c r="W62" s="76"/>
      <c r="X62" s="76"/>
      <c r="Z62"/>
      <c r="AA62"/>
      <c r="AC62" s="44"/>
      <c r="AD62"/>
      <c r="AF62" s="44"/>
    </row>
    <row r="63" spans="1:32" s="5" customFormat="1" x14ac:dyDescent="0.2">
      <c r="A63" s="76"/>
      <c r="B63" s="70"/>
      <c r="C63" s="70" t="s">
        <v>562</v>
      </c>
      <c r="D63" s="32"/>
      <c r="E63" s="32">
        <v>-5000</v>
      </c>
      <c r="F63" s="70"/>
      <c r="H63"/>
      <c r="I63"/>
      <c r="J63" s="72"/>
      <c r="K63"/>
      <c r="L63"/>
      <c r="M63" s="32"/>
      <c r="N63"/>
      <c r="O63"/>
      <c r="P63" s="4"/>
      <c r="Q63"/>
      <c r="R63"/>
      <c r="S63"/>
      <c r="T63"/>
      <c r="U63"/>
      <c r="V63"/>
      <c r="W63"/>
      <c r="X63"/>
      <c r="Z63"/>
      <c r="AA63"/>
      <c r="AB63" s="23"/>
      <c r="AC63" s="44"/>
      <c r="AD63"/>
      <c r="AE63" s="23"/>
      <c r="AF63" s="44"/>
    </row>
    <row r="64" spans="1:32" x14ac:dyDescent="0.2">
      <c r="B64" s="70"/>
      <c r="C64" s="70" t="s">
        <v>563</v>
      </c>
      <c r="D64" s="139"/>
      <c r="E64" s="151">
        <v>-2000</v>
      </c>
      <c r="F64" s="100"/>
      <c r="J64" s="72"/>
    </row>
    <row r="65" spans="1:6" x14ac:dyDescent="0.2">
      <c r="B65" s="70"/>
      <c r="C65" s="70" t="s">
        <v>561</v>
      </c>
      <c r="D65" s="72" t="s">
        <v>616</v>
      </c>
      <c r="E65" s="146">
        <v>-4000</v>
      </c>
      <c r="F65" s="70"/>
    </row>
    <row r="66" spans="1:6" ht="15" x14ac:dyDescent="0.35">
      <c r="B66" s="70"/>
      <c r="C66" s="147" t="s">
        <v>525</v>
      </c>
      <c r="D66" s="72"/>
      <c r="E66" s="45">
        <v>500</v>
      </c>
      <c r="F66" s="70"/>
    </row>
    <row r="67" spans="1:6" x14ac:dyDescent="0.2">
      <c r="B67" s="101" t="s">
        <v>612</v>
      </c>
      <c r="D67" s="72"/>
      <c r="E67" s="72">
        <f>SUM(E59:E66)</f>
        <v>2420</v>
      </c>
    </row>
    <row r="72" spans="1:6" x14ac:dyDescent="0.2">
      <c r="A72" s="21"/>
    </row>
  </sheetData>
  <mergeCells count="25">
    <mergeCell ref="AE3:AF3"/>
    <mergeCell ref="G4:H4"/>
    <mergeCell ref="J4:K4"/>
    <mergeCell ref="M4:N4"/>
    <mergeCell ref="P4:Q4"/>
    <mergeCell ref="S4:T4"/>
    <mergeCell ref="V4:W4"/>
    <mergeCell ref="Y4:Z4"/>
    <mergeCell ref="G3:H3"/>
    <mergeCell ref="J3:K3"/>
    <mergeCell ref="M3:N3"/>
    <mergeCell ref="P3:Q3"/>
    <mergeCell ref="S3:T3"/>
    <mergeCell ref="V3:W3"/>
    <mergeCell ref="AE4:AF4"/>
    <mergeCell ref="D3:E3"/>
    <mergeCell ref="D4:E4"/>
    <mergeCell ref="AB4:AC4"/>
    <mergeCell ref="Y3:Z3"/>
    <mergeCell ref="AB3:AC3"/>
    <mergeCell ref="B51:U51"/>
    <mergeCell ref="B52:U52"/>
    <mergeCell ref="B53:U53"/>
    <mergeCell ref="B54:U54"/>
    <mergeCell ref="B55:U55"/>
  </mergeCells>
  <pageMargins left="0.74803149606299213" right="0.74803149606299213" top="0.98425196850393704" bottom="0.78740157480314965" header="0.51181102362204722" footer="0.51181102362204722"/>
  <pageSetup paperSize="9" scale="52" orientation="portrait" r:id="rId1"/>
  <headerFooter alignWithMargins="0">
    <oddFooter>&amp;L&amp;F, &amp;A&amp;R&amp;D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4"/>
  <sheetViews>
    <sheetView topLeftCell="D40" zoomScale="106" workbookViewId="0">
      <selection activeCell="L24" sqref="L24"/>
    </sheetView>
  </sheetViews>
  <sheetFormatPr defaultColWidth="8.85546875" defaultRowHeight="12.75" x14ac:dyDescent="0.2"/>
  <cols>
    <col min="1" max="1" width="29.28515625" customWidth="1"/>
    <col min="2" max="2" width="14.28515625" customWidth="1"/>
    <col min="3" max="3" width="10.85546875" bestFit="1" customWidth="1"/>
    <col min="4" max="4" width="13.140625" bestFit="1" customWidth="1"/>
    <col min="5" max="5" width="10.28515625" customWidth="1"/>
    <col min="6" max="6" width="10.85546875" bestFit="1" customWidth="1"/>
    <col min="7" max="7" width="1" style="84" customWidth="1"/>
    <col min="8" max="8" width="10.85546875" bestFit="1" customWidth="1"/>
    <col min="9" max="9" width="3.28515625" customWidth="1"/>
    <col min="10" max="10" width="1.140625" style="84" customWidth="1"/>
    <col min="11" max="11" width="7.7109375" customWidth="1"/>
    <col min="12" max="12" width="10.85546875" style="32" bestFit="1" customWidth="1"/>
    <col min="13" max="13" width="8.28515625" bestFit="1" customWidth="1"/>
    <col min="14" max="14" width="10.85546875" bestFit="1" customWidth="1"/>
    <col min="15" max="15" width="6.85546875" style="99" bestFit="1" customWidth="1"/>
    <col min="16" max="16" width="8.85546875" style="99"/>
  </cols>
  <sheetData>
    <row r="1" spans="1:16" ht="15.75" x14ac:dyDescent="0.25">
      <c r="A1" s="42" t="s">
        <v>582</v>
      </c>
    </row>
    <row r="2" spans="1:16" ht="12" customHeight="1" x14ac:dyDescent="0.2"/>
    <row r="3" spans="1:16" s="12" customFormat="1" ht="132.75" customHeight="1" x14ac:dyDescent="0.2">
      <c r="B3" s="69" t="s">
        <v>291</v>
      </c>
      <c r="C3" s="69" t="s">
        <v>292</v>
      </c>
      <c r="D3" s="90" t="s">
        <v>372</v>
      </c>
      <c r="E3" s="90" t="s">
        <v>633</v>
      </c>
      <c r="F3" s="69" t="s">
        <v>202</v>
      </c>
      <c r="G3" s="102"/>
      <c r="H3" s="69" t="s">
        <v>392</v>
      </c>
      <c r="I3" s="69" t="s">
        <v>302</v>
      </c>
      <c r="J3" s="102"/>
      <c r="K3" s="69" t="s">
        <v>190</v>
      </c>
      <c r="L3" s="118" t="s">
        <v>324</v>
      </c>
      <c r="M3" s="90" t="s">
        <v>447</v>
      </c>
      <c r="O3" s="152"/>
      <c r="P3" s="152"/>
    </row>
    <row r="5" spans="1:16" s="20" customFormat="1" x14ac:dyDescent="0.2">
      <c r="A5" s="20" t="s">
        <v>191</v>
      </c>
      <c r="B5" s="39">
        <f>+'kolommenbalans 2018'!B46</f>
        <v>3681.9299999999967</v>
      </c>
      <c r="C5" s="39">
        <f>+'kolommenbalans 2018'!C46</f>
        <v>18675.009999999995</v>
      </c>
      <c r="D5" s="39">
        <f>+'kolommenbalans 2018'!D46</f>
        <v>199.92000000000002</v>
      </c>
      <c r="E5" s="39">
        <f>+'kolommenbalans 2018'!G46</f>
        <v>-4676.8600000000024</v>
      </c>
      <c r="F5" s="39">
        <f>+'kolommenbalans 2018'!H46</f>
        <v>-17880</v>
      </c>
      <c r="G5" s="83"/>
      <c r="H5" s="39"/>
      <c r="I5" s="39"/>
      <c r="J5" s="83"/>
      <c r="K5" s="39">
        <f>+'kolommenbalans 2014'!K29</f>
        <v>0</v>
      </c>
      <c r="L5" s="39"/>
      <c r="M5" s="39"/>
      <c r="N5" s="39">
        <f>SUM(B5:K5)</f>
        <v>-1.4551915228366852E-11</v>
      </c>
      <c r="O5" s="153">
        <f>SUM(I5:K5)</f>
        <v>0</v>
      </c>
      <c r="P5" s="154"/>
    </row>
    <row r="6" spans="1:16" x14ac:dyDescent="0.2">
      <c r="A6" s="117">
        <v>43466</v>
      </c>
      <c r="B6" s="32">
        <f>-F6</f>
        <v>-80</v>
      </c>
      <c r="C6" s="32"/>
      <c r="D6" s="32"/>
      <c r="E6" s="32"/>
      <c r="F6" s="32">
        <v>80</v>
      </c>
      <c r="G6" s="132"/>
      <c r="H6" s="32"/>
      <c r="I6" s="32"/>
      <c r="J6" s="132"/>
      <c r="K6" s="32"/>
      <c r="M6" s="32"/>
      <c r="N6" s="39">
        <f>SUM(B6:M6)</f>
        <v>0</v>
      </c>
      <c r="O6" s="155"/>
    </row>
    <row r="7" spans="1:16" x14ac:dyDescent="0.2">
      <c r="A7" s="117">
        <v>43481</v>
      </c>
      <c r="B7" s="32">
        <f>-K7</f>
        <v>-59.82</v>
      </c>
      <c r="C7" s="32"/>
      <c r="E7" s="32"/>
      <c r="F7" s="32"/>
      <c r="G7" s="132"/>
      <c r="H7" s="32"/>
      <c r="K7" s="32">
        <v>59.82</v>
      </c>
      <c r="M7" s="32"/>
      <c r="N7" s="39"/>
      <c r="O7" s="155" t="s">
        <v>590</v>
      </c>
    </row>
    <row r="8" spans="1:16" x14ac:dyDescent="0.2">
      <c r="A8" s="117">
        <v>43488</v>
      </c>
      <c r="B8" s="32">
        <f>-D8</f>
        <v>199.92</v>
      </c>
      <c r="C8" s="32"/>
      <c r="D8" s="32">
        <v>-199.92</v>
      </c>
      <c r="E8" s="32"/>
      <c r="F8" s="32"/>
      <c r="G8" s="132"/>
      <c r="H8" s="32"/>
      <c r="I8" s="32"/>
      <c r="J8" s="132"/>
      <c r="K8" s="32"/>
      <c r="M8" s="32"/>
      <c r="N8" s="39">
        <f>SUM(B8:M8)</f>
        <v>0</v>
      </c>
      <c r="O8" s="155"/>
    </row>
    <row r="9" spans="1:16" x14ac:dyDescent="0.2">
      <c r="A9" s="117">
        <v>43489</v>
      </c>
      <c r="B9" s="32">
        <f>-C9</f>
        <v>4000</v>
      </c>
      <c r="C9" s="32">
        <v>-4000</v>
      </c>
      <c r="E9" s="32"/>
      <c r="F9" s="32"/>
      <c r="G9" s="132"/>
      <c r="H9" s="32"/>
      <c r="K9" s="32"/>
      <c r="N9" s="39">
        <f>SUM(B9:M9)</f>
        <v>0</v>
      </c>
      <c r="O9" s="155"/>
    </row>
    <row r="10" spans="1:16" x14ac:dyDescent="0.2">
      <c r="A10" s="117">
        <v>43489</v>
      </c>
      <c r="B10" s="32">
        <f>-F10</f>
        <v>-4000</v>
      </c>
      <c r="C10" s="32"/>
      <c r="E10" s="32"/>
      <c r="F10" s="32">
        <v>4000</v>
      </c>
      <c r="G10" s="132"/>
      <c r="H10" s="32"/>
      <c r="K10" s="32"/>
      <c r="N10" s="39"/>
      <c r="O10" s="155"/>
    </row>
    <row r="11" spans="1:16" x14ac:dyDescent="0.2">
      <c r="A11" s="117">
        <v>43489</v>
      </c>
      <c r="B11" s="32">
        <f>-K11</f>
        <v>-56</v>
      </c>
      <c r="C11" s="32"/>
      <c r="D11" s="32"/>
      <c r="E11" s="32"/>
      <c r="F11" s="32"/>
      <c r="G11" s="132"/>
      <c r="H11" s="32"/>
      <c r="I11" s="32"/>
      <c r="J11" s="132"/>
      <c r="K11" s="32">
        <v>56</v>
      </c>
      <c r="M11" s="32"/>
      <c r="N11" s="39">
        <f>SUM(B11:M11)</f>
        <v>0</v>
      </c>
      <c r="O11" s="155" t="s">
        <v>589</v>
      </c>
    </row>
    <row r="12" spans="1:16" x14ac:dyDescent="0.2">
      <c r="A12" s="117">
        <v>43493</v>
      </c>
      <c r="B12" s="32">
        <f>-K12</f>
        <v>-26.83</v>
      </c>
      <c r="C12" s="32"/>
      <c r="E12" s="32"/>
      <c r="F12" s="32"/>
      <c r="G12" s="132"/>
      <c r="H12" s="32"/>
      <c r="K12" s="32">
        <v>26.83</v>
      </c>
      <c r="N12" s="39">
        <f>SUM(B12:M12)</f>
        <v>0</v>
      </c>
      <c r="O12" s="155" t="s">
        <v>588</v>
      </c>
    </row>
    <row r="13" spans="1:16" x14ac:dyDescent="0.2">
      <c r="A13" s="117">
        <v>43495</v>
      </c>
      <c r="B13" s="32">
        <f>-F13</f>
        <v>-2000</v>
      </c>
      <c r="C13" s="32"/>
      <c r="E13" s="32"/>
      <c r="F13" s="32">
        <v>2000</v>
      </c>
      <c r="G13" s="132"/>
      <c r="H13" s="32"/>
      <c r="K13" s="32"/>
      <c r="M13" s="32"/>
      <c r="N13" s="39">
        <f>SUM(B13:M13)</f>
        <v>0</v>
      </c>
      <c r="O13" s="155"/>
    </row>
    <row r="14" spans="1:16" x14ac:dyDescent="0.2">
      <c r="A14" s="117">
        <v>43497</v>
      </c>
      <c r="B14" s="32">
        <f t="shared" ref="B14:B15" si="0">-F14</f>
        <v>-80</v>
      </c>
      <c r="C14" s="32"/>
      <c r="E14" s="32"/>
      <c r="F14" s="32">
        <v>80</v>
      </c>
      <c r="G14" s="132"/>
      <c r="H14" s="32"/>
      <c r="K14" s="32"/>
      <c r="N14" s="39">
        <f>SUM(B14:L14)</f>
        <v>0</v>
      </c>
      <c r="O14" s="155"/>
    </row>
    <row r="15" spans="1:16" x14ac:dyDescent="0.2">
      <c r="A15" s="117">
        <v>43525</v>
      </c>
      <c r="B15" s="32">
        <f t="shared" si="0"/>
        <v>-80</v>
      </c>
      <c r="C15" s="32"/>
      <c r="E15" s="32"/>
      <c r="F15" s="32">
        <v>80</v>
      </c>
      <c r="G15" s="132"/>
      <c r="H15" s="32"/>
      <c r="K15" s="32"/>
      <c r="N15" s="39">
        <f>SUM(B15:L15)</f>
        <v>0</v>
      </c>
      <c r="O15" s="155"/>
    </row>
    <row r="16" spans="1:16" x14ac:dyDescent="0.2">
      <c r="A16" s="117">
        <v>43549</v>
      </c>
      <c r="B16" s="32">
        <f>-C16</f>
        <v>5000</v>
      </c>
      <c r="C16" s="32">
        <v>-5000</v>
      </c>
      <c r="E16" s="32"/>
      <c r="F16" s="32"/>
      <c r="G16" s="132"/>
      <c r="H16" s="32"/>
      <c r="K16" s="32"/>
      <c r="N16" s="39">
        <f>SUM(B16:L16)</f>
        <v>0</v>
      </c>
      <c r="O16" s="155"/>
    </row>
    <row r="17" spans="1:15" x14ac:dyDescent="0.2">
      <c r="A17" s="117">
        <v>43549</v>
      </c>
      <c r="B17" s="32">
        <f>-F17</f>
        <v>-5000</v>
      </c>
      <c r="C17" s="32"/>
      <c r="E17" s="32"/>
      <c r="F17" s="32">
        <v>5000</v>
      </c>
      <c r="G17" s="132"/>
      <c r="H17" s="32"/>
      <c r="K17" s="32"/>
      <c r="N17" s="39">
        <f>SUM(B17:L17)</f>
        <v>0</v>
      </c>
      <c r="O17" s="155"/>
    </row>
    <row r="18" spans="1:15" x14ac:dyDescent="0.2">
      <c r="A18" s="117">
        <v>43556</v>
      </c>
      <c r="B18" s="32">
        <f t="shared" ref="B18:B21" si="1">-F18</f>
        <v>-80</v>
      </c>
      <c r="E18" s="32"/>
      <c r="F18" s="32">
        <v>80</v>
      </c>
      <c r="G18" s="132"/>
      <c r="H18" s="32"/>
      <c r="I18" s="32"/>
      <c r="J18" s="132"/>
      <c r="K18" s="32"/>
      <c r="M18" s="32"/>
      <c r="N18" s="39">
        <f>SUM(B18:K18)</f>
        <v>0</v>
      </c>
      <c r="O18" s="155"/>
    </row>
    <row r="19" spans="1:15" x14ac:dyDescent="0.2">
      <c r="A19" s="117">
        <v>43581</v>
      </c>
      <c r="B19" s="32">
        <f>-K19</f>
        <v>-27.61</v>
      </c>
      <c r="C19" s="32"/>
      <c r="E19" s="32"/>
      <c r="G19" s="132"/>
      <c r="H19" s="32"/>
      <c r="I19" s="32"/>
      <c r="J19" s="132"/>
      <c r="K19" s="32">
        <v>27.61</v>
      </c>
      <c r="M19" s="32"/>
      <c r="N19" s="39">
        <f t="shared" ref="N19:N41" si="2">SUM(B19:M19)</f>
        <v>0</v>
      </c>
      <c r="O19" s="155" t="s">
        <v>588</v>
      </c>
    </row>
    <row r="20" spans="1:15" x14ac:dyDescent="0.2">
      <c r="A20" s="31">
        <v>43586</v>
      </c>
      <c r="B20" s="32">
        <f t="shared" si="1"/>
        <v>-80</v>
      </c>
      <c r="C20" s="32"/>
      <c r="E20" s="32"/>
      <c r="F20" s="32">
        <v>80</v>
      </c>
      <c r="G20" s="132"/>
      <c r="H20" s="32"/>
      <c r="I20" s="32"/>
      <c r="J20" s="132"/>
      <c r="K20" s="32"/>
      <c r="M20" s="32"/>
      <c r="N20" s="39">
        <f t="shared" si="2"/>
        <v>0</v>
      </c>
      <c r="O20" s="155"/>
    </row>
    <row r="21" spans="1:15" x14ac:dyDescent="0.2">
      <c r="A21" s="117">
        <v>43617</v>
      </c>
      <c r="B21" s="32">
        <f t="shared" si="1"/>
        <v>-80</v>
      </c>
      <c r="C21" s="32"/>
      <c r="D21" s="32"/>
      <c r="E21" s="32"/>
      <c r="F21" s="32">
        <v>80</v>
      </c>
      <c r="G21" s="132"/>
      <c r="H21" s="32"/>
      <c r="I21" s="32"/>
      <c r="J21" s="132"/>
      <c r="K21" s="32"/>
      <c r="N21" s="39">
        <f t="shared" si="2"/>
        <v>0</v>
      </c>
    </row>
    <row r="22" spans="1:15" x14ac:dyDescent="0.2">
      <c r="A22" s="117">
        <v>43619</v>
      </c>
      <c r="B22" s="32">
        <f>-H22</f>
        <v>10000</v>
      </c>
      <c r="C22" s="32"/>
      <c r="D22" s="32"/>
      <c r="E22" s="32"/>
      <c r="F22" s="32"/>
      <c r="G22" s="132"/>
      <c r="H22" s="32">
        <v>-10000</v>
      </c>
      <c r="I22" s="32"/>
      <c r="J22" s="132"/>
      <c r="K22" s="32"/>
      <c r="N22" s="39">
        <f t="shared" si="2"/>
        <v>0</v>
      </c>
      <c r="O22" s="155" t="s">
        <v>624</v>
      </c>
    </row>
    <row r="23" spans="1:15" x14ac:dyDescent="0.2">
      <c r="A23" s="117">
        <v>43636</v>
      </c>
      <c r="B23" s="32">
        <v>2000</v>
      </c>
      <c r="C23" s="32"/>
      <c r="D23">
        <v>-417.68</v>
      </c>
      <c r="E23" s="32"/>
      <c r="F23" s="32"/>
      <c r="G23" s="132"/>
      <c r="H23" s="32">
        <v>-1582.32</v>
      </c>
      <c r="I23" s="32"/>
      <c r="J23" s="132"/>
      <c r="K23" s="32"/>
      <c r="N23" s="39">
        <f t="shared" si="2"/>
        <v>0</v>
      </c>
      <c r="O23" s="155" t="s">
        <v>624</v>
      </c>
    </row>
    <row r="24" spans="1:15" x14ac:dyDescent="0.2">
      <c r="A24" s="117">
        <v>43636</v>
      </c>
      <c r="B24" s="32">
        <f>-L24</f>
        <v>-11582.32</v>
      </c>
      <c r="C24" s="32"/>
      <c r="D24" s="32"/>
      <c r="E24" s="32"/>
      <c r="F24" s="32"/>
      <c r="G24" s="132"/>
      <c r="H24" s="32"/>
      <c r="I24" s="32"/>
      <c r="J24" s="132"/>
      <c r="K24" s="32"/>
      <c r="L24" s="32">
        <v>11582.32</v>
      </c>
      <c r="N24" s="39">
        <f t="shared" si="2"/>
        <v>0</v>
      </c>
      <c r="O24" s="155"/>
    </row>
    <row r="25" spans="1:15" x14ac:dyDescent="0.2">
      <c r="A25" s="117">
        <v>43636</v>
      </c>
      <c r="B25" s="32">
        <f>-K25</f>
        <v>-11.58</v>
      </c>
      <c r="C25" s="32"/>
      <c r="D25" s="32"/>
      <c r="E25" s="32"/>
      <c r="F25" s="32"/>
      <c r="G25" s="132"/>
      <c r="H25" s="32"/>
      <c r="I25" s="32"/>
      <c r="J25" s="132"/>
      <c r="K25" s="32">
        <v>11.58</v>
      </c>
      <c r="N25" s="39">
        <f t="shared" si="2"/>
        <v>0</v>
      </c>
      <c r="O25" s="155" t="s">
        <v>589</v>
      </c>
    </row>
    <row r="26" spans="1:15" x14ac:dyDescent="0.2">
      <c r="A26" s="117">
        <v>43647</v>
      </c>
      <c r="B26" s="32">
        <f t="shared" ref="B26:B32" si="3">-F26</f>
        <v>-80</v>
      </c>
      <c r="C26" s="32"/>
      <c r="D26" s="32"/>
      <c r="E26" s="32"/>
      <c r="F26" s="32">
        <v>80</v>
      </c>
      <c r="G26" s="132"/>
      <c r="H26" s="32"/>
      <c r="I26" s="32"/>
      <c r="J26" s="132"/>
      <c r="K26" s="32"/>
      <c r="N26" s="39">
        <f t="shared" si="2"/>
        <v>0</v>
      </c>
      <c r="O26" s="155"/>
    </row>
    <row r="27" spans="1:15" x14ac:dyDescent="0.2">
      <c r="A27" s="117">
        <v>43672</v>
      </c>
      <c r="B27" s="32">
        <f>-K27</f>
        <v>-27.09</v>
      </c>
      <c r="C27" s="32"/>
      <c r="D27" s="32"/>
      <c r="E27" s="32"/>
      <c r="F27" s="32"/>
      <c r="G27" s="132"/>
      <c r="H27" s="32"/>
      <c r="I27" s="32"/>
      <c r="J27" s="132"/>
      <c r="K27" s="32">
        <v>27.09</v>
      </c>
      <c r="N27" s="39">
        <f t="shared" si="2"/>
        <v>0</v>
      </c>
      <c r="O27" s="155" t="s">
        <v>588</v>
      </c>
    </row>
    <row r="28" spans="1:15" x14ac:dyDescent="0.2">
      <c r="A28" s="117">
        <v>43678</v>
      </c>
      <c r="B28" s="32">
        <f t="shared" si="3"/>
        <v>-80</v>
      </c>
      <c r="C28" s="32"/>
      <c r="D28" s="32"/>
      <c r="E28" s="32"/>
      <c r="F28" s="32">
        <v>80</v>
      </c>
      <c r="G28" s="132"/>
      <c r="H28" s="32"/>
      <c r="I28" s="32"/>
      <c r="J28" s="132"/>
      <c r="K28" s="32"/>
      <c r="N28" s="39">
        <f t="shared" si="2"/>
        <v>0</v>
      </c>
      <c r="O28" s="155"/>
    </row>
    <row r="29" spans="1:15" x14ac:dyDescent="0.2">
      <c r="A29" s="117">
        <v>43709</v>
      </c>
      <c r="B29" s="32">
        <f t="shared" si="3"/>
        <v>-80</v>
      </c>
      <c r="C29" s="32"/>
      <c r="D29" s="32"/>
      <c r="E29" s="32"/>
      <c r="F29" s="32">
        <v>80</v>
      </c>
      <c r="G29" s="132"/>
      <c r="H29" s="32"/>
      <c r="I29" s="32"/>
      <c r="J29" s="132"/>
      <c r="K29" s="32"/>
      <c r="N29" s="39">
        <f t="shared" si="2"/>
        <v>0</v>
      </c>
      <c r="O29" s="155"/>
    </row>
    <row r="30" spans="1:15" x14ac:dyDescent="0.2">
      <c r="A30" s="117">
        <v>43739</v>
      </c>
      <c r="B30" s="32">
        <f t="shared" si="3"/>
        <v>-80</v>
      </c>
      <c r="C30" s="32"/>
      <c r="D30" s="32"/>
      <c r="E30" s="32"/>
      <c r="F30" s="32">
        <v>80</v>
      </c>
      <c r="G30" s="132"/>
      <c r="H30" s="32"/>
      <c r="I30" s="32"/>
      <c r="J30" s="132"/>
      <c r="K30" s="32"/>
      <c r="N30" s="39">
        <f t="shared" si="2"/>
        <v>0</v>
      </c>
      <c r="O30" s="155"/>
    </row>
    <row r="31" spans="1:15" x14ac:dyDescent="0.2">
      <c r="A31" s="117">
        <v>43766</v>
      </c>
      <c r="B31" s="32">
        <f>-K31</f>
        <v>-26.57</v>
      </c>
      <c r="C31" s="32"/>
      <c r="D31" s="32"/>
      <c r="E31" s="32"/>
      <c r="F31" s="32"/>
      <c r="G31" s="132"/>
      <c r="H31" s="32"/>
      <c r="I31" s="32"/>
      <c r="J31" s="132"/>
      <c r="K31" s="32">
        <v>26.57</v>
      </c>
      <c r="N31" s="39">
        <f t="shared" si="2"/>
        <v>0</v>
      </c>
      <c r="O31" s="155" t="s">
        <v>588</v>
      </c>
    </row>
    <row r="32" spans="1:15" x14ac:dyDescent="0.2">
      <c r="A32" s="117">
        <v>43770</v>
      </c>
      <c r="B32" s="32">
        <f t="shared" si="3"/>
        <v>-80</v>
      </c>
      <c r="C32" s="32"/>
      <c r="D32" s="32"/>
      <c r="E32" s="32"/>
      <c r="F32" s="32">
        <v>80</v>
      </c>
      <c r="G32" s="132"/>
      <c r="H32" s="32"/>
      <c r="I32" s="32"/>
      <c r="J32" s="132"/>
      <c r="K32" s="32"/>
      <c r="N32" s="39">
        <f t="shared" si="2"/>
        <v>0</v>
      </c>
      <c r="O32" s="155"/>
    </row>
    <row r="33" spans="1:16" x14ac:dyDescent="0.2">
      <c r="A33" s="117">
        <v>43794</v>
      </c>
      <c r="B33" s="32">
        <f>-H33</f>
        <v>7500</v>
      </c>
      <c r="C33" s="32"/>
      <c r="D33" s="32"/>
      <c r="E33" s="32"/>
      <c r="F33" s="32"/>
      <c r="G33" s="132"/>
      <c r="H33" s="32">
        <v>-7500</v>
      </c>
      <c r="I33" s="32"/>
      <c r="J33" s="132"/>
      <c r="K33" s="32"/>
      <c r="N33" s="39">
        <f t="shared" si="2"/>
        <v>0</v>
      </c>
      <c r="O33" s="155" t="s">
        <v>626</v>
      </c>
    </row>
    <row r="34" spans="1:16" x14ac:dyDescent="0.2">
      <c r="A34" s="117">
        <v>43795</v>
      </c>
      <c r="B34" s="32">
        <f>-K34</f>
        <v>-8.83</v>
      </c>
      <c r="C34" s="32"/>
      <c r="D34" s="32"/>
      <c r="E34" s="32"/>
      <c r="F34" s="32"/>
      <c r="G34" s="132"/>
      <c r="H34" s="32"/>
      <c r="I34" s="32"/>
      <c r="J34" s="132"/>
      <c r="K34" s="32">
        <v>8.83</v>
      </c>
      <c r="N34" s="39">
        <f t="shared" si="2"/>
        <v>0</v>
      </c>
      <c r="O34" s="155" t="s">
        <v>588</v>
      </c>
    </row>
    <row r="35" spans="1:16" x14ac:dyDescent="0.2">
      <c r="A35" s="117">
        <v>43799</v>
      </c>
      <c r="B35" s="32">
        <v>8000</v>
      </c>
      <c r="C35" s="32">
        <v>-8000</v>
      </c>
      <c r="D35" s="32"/>
      <c r="E35" s="32"/>
      <c r="F35" s="32"/>
      <c r="G35" s="132"/>
      <c r="H35" s="32"/>
      <c r="I35" s="32"/>
      <c r="J35" s="132"/>
      <c r="K35" s="32"/>
      <c r="N35" s="39">
        <f t="shared" si="2"/>
        <v>0</v>
      </c>
      <c r="O35" s="155"/>
    </row>
    <row r="36" spans="1:16" x14ac:dyDescent="0.2">
      <c r="A36" s="117">
        <v>43799</v>
      </c>
      <c r="B36" s="32">
        <v>11000</v>
      </c>
      <c r="C36" s="32"/>
      <c r="D36" s="32"/>
      <c r="E36" s="32"/>
      <c r="F36" s="32"/>
      <c r="G36" s="132"/>
      <c r="H36" s="32">
        <v>-11000</v>
      </c>
      <c r="I36" s="32"/>
      <c r="J36" s="132"/>
      <c r="K36" s="32"/>
      <c r="N36" s="39">
        <f t="shared" si="2"/>
        <v>0</v>
      </c>
      <c r="O36" s="155" t="s">
        <v>624</v>
      </c>
    </row>
    <row r="37" spans="1:16" x14ac:dyDescent="0.2">
      <c r="A37" s="117">
        <v>43800</v>
      </c>
      <c r="B37" s="32">
        <f t="shared" ref="B37" si="4">-F37</f>
        <v>-80</v>
      </c>
      <c r="C37" s="32"/>
      <c r="D37" s="32"/>
      <c r="E37" s="32"/>
      <c r="F37" s="32">
        <v>80</v>
      </c>
      <c r="G37" s="132"/>
      <c r="H37" s="32"/>
      <c r="I37" s="32"/>
      <c r="J37" s="132"/>
      <c r="K37" s="32"/>
      <c r="N37" s="39">
        <f t="shared" si="2"/>
        <v>0</v>
      </c>
      <c r="O37" s="155"/>
    </row>
    <row r="38" spans="1:16" x14ac:dyDescent="0.2">
      <c r="A38" s="117">
        <v>43801</v>
      </c>
      <c r="B38" s="32">
        <f>-L38</f>
        <v>-11883</v>
      </c>
      <c r="C38" s="32"/>
      <c r="D38" s="32"/>
      <c r="E38" s="32"/>
      <c r="F38" s="32"/>
      <c r="G38" s="132"/>
      <c r="H38" s="32"/>
      <c r="I38" s="32"/>
      <c r="J38" s="132"/>
      <c r="K38" s="32"/>
      <c r="L38" s="32">
        <v>11883</v>
      </c>
      <c r="N38" s="39">
        <f t="shared" si="2"/>
        <v>0</v>
      </c>
      <c r="O38" s="155" t="s">
        <v>619</v>
      </c>
    </row>
    <row r="39" spans="1:16" x14ac:dyDescent="0.2">
      <c r="A39" s="117">
        <v>44167</v>
      </c>
      <c r="B39" s="32">
        <v>-11.88</v>
      </c>
      <c r="C39" s="32"/>
      <c r="E39" s="32"/>
      <c r="F39" s="32"/>
      <c r="G39" s="132"/>
      <c r="H39" s="32">
        <v>11.88</v>
      </c>
      <c r="I39" s="32"/>
      <c r="J39" s="132"/>
      <c r="K39" s="146"/>
      <c r="N39" s="39">
        <f t="shared" si="2"/>
        <v>0</v>
      </c>
      <c r="O39" s="155" t="s">
        <v>589</v>
      </c>
    </row>
    <row r="40" spans="1:16" x14ac:dyDescent="0.2">
      <c r="A40" s="117">
        <v>44173</v>
      </c>
      <c r="B40" s="32">
        <f>-H40</f>
        <v>894.88</v>
      </c>
      <c r="C40" s="32"/>
      <c r="D40" s="32"/>
      <c r="E40" s="32"/>
      <c r="F40" s="32"/>
      <c r="G40" s="132"/>
      <c r="H40" s="32">
        <v>-894.88</v>
      </c>
      <c r="I40" s="32"/>
      <c r="J40" s="132"/>
      <c r="K40" s="32"/>
      <c r="N40" s="39">
        <f t="shared" si="2"/>
        <v>0</v>
      </c>
      <c r="O40" s="155" t="s">
        <v>624</v>
      </c>
    </row>
    <row r="41" spans="1:16" x14ac:dyDescent="0.2">
      <c r="A41" s="117">
        <v>44195</v>
      </c>
      <c r="B41" s="32">
        <f>-K41</f>
        <v>-9.27</v>
      </c>
      <c r="C41" s="32"/>
      <c r="D41" s="32"/>
      <c r="E41" s="32"/>
      <c r="F41" s="32"/>
      <c r="G41" s="132"/>
      <c r="H41" s="32"/>
      <c r="I41" s="32"/>
      <c r="J41" s="132"/>
      <c r="K41" s="32">
        <v>9.27</v>
      </c>
      <c r="N41" s="39">
        <f t="shared" si="2"/>
        <v>0</v>
      </c>
      <c r="O41" s="155" t="s">
        <v>588</v>
      </c>
    </row>
    <row r="42" spans="1:16" x14ac:dyDescent="0.2">
      <c r="A42" s="140"/>
      <c r="B42" s="32"/>
      <c r="C42" s="32"/>
      <c r="D42" s="32"/>
      <c r="E42" s="32"/>
      <c r="F42" s="32"/>
      <c r="G42" s="132"/>
      <c r="H42" s="32"/>
      <c r="I42" s="32"/>
      <c r="J42" s="132"/>
      <c r="K42" s="32"/>
      <c r="N42" s="39"/>
      <c r="O42" s="155"/>
    </row>
    <row r="43" spans="1:16" s="20" customFormat="1" x14ac:dyDescent="0.2">
      <c r="A43" s="20" t="s">
        <v>203</v>
      </c>
      <c r="B43" s="39">
        <f t="shared" ref="B43:F43" si="5">SUM(B5:B42)</f>
        <v>16585.929999999997</v>
      </c>
      <c r="C43" s="39">
        <f t="shared" si="5"/>
        <v>1675.0099999999948</v>
      </c>
      <c r="D43" s="39">
        <f t="shared" si="5"/>
        <v>-417.67999999999995</v>
      </c>
      <c r="E43" s="39">
        <f t="shared" si="5"/>
        <v>-4676.8600000000024</v>
      </c>
      <c r="F43" s="39">
        <f t="shared" si="5"/>
        <v>-5920</v>
      </c>
      <c r="G43" s="83">
        <f>SUM(G5:G34)</f>
        <v>0</v>
      </c>
      <c r="H43" s="39">
        <f>SUM(H5:H42)</f>
        <v>-30965.32</v>
      </c>
      <c r="I43" s="39">
        <f>SUM(I5:I42)</f>
        <v>0</v>
      </c>
      <c r="J43" s="83"/>
      <c r="K43" s="39">
        <f>SUM(K5:K42)</f>
        <v>253.60000000000002</v>
      </c>
      <c r="L43" s="39">
        <f>SUM(L5:L42)</f>
        <v>23465.32</v>
      </c>
      <c r="M43" s="39">
        <f>SUM(M5:M42)</f>
        <v>0</v>
      </c>
      <c r="N43" s="39">
        <f>SUM(N5:N42)</f>
        <v>-1.4551915228366852E-11</v>
      </c>
      <c r="O43" s="153"/>
      <c r="P43" s="154"/>
    </row>
    <row r="44" spans="1:16" s="20" customFormat="1" x14ac:dyDescent="0.2">
      <c r="B44" s="39"/>
      <c r="C44" s="39"/>
      <c r="D44" s="39"/>
      <c r="E44" s="39"/>
      <c r="F44" s="39"/>
      <c r="G44" s="83"/>
      <c r="H44" s="39"/>
      <c r="I44" s="39"/>
      <c r="J44" s="83"/>
      <c r="K44" s="39"/>
      <c r="L44" s="39"/>
      <c r="M44" s="39"/>
      <c r="N44" s="39"/>
      <c r="O44" s="153"/>
      <c r="P44" s="154"/>
    </row>
    <row r="45" spans="1:16" x14ac:dyDescent="0.2">
      <c r="A45" s="20" t="s">
        <v>199</v>
      </c>
      <c r="B45" s="32"/>
      <c r="C45" s="32"/>
      <c r="D45" s="32"/>
      <c r="E45" s="32"/>
      <c r="F45" s="32"/>
      <c r="G45" s="132"/>
      <c r="H45" s="32"/>
      <c r="I45" s="32"/>
      <c r="J45" s="132"/>
      <c r="K45" s="32"/>
      <c r="M45" s="32"/>
      <c r="N45" s="32"/>
      <c r="O45" s="155"/>
    </row>
    <row r="46" spans="1:16" x14ac:dyDescent="0.2">
      <c r="A46" s="20" t="s">
        <v>638</v>
      </c>
      <c r="B46" s="32"/>
      <c r="C46" s="32"/>
      <c r="D46" s="32"/>
      <c r="E46" s="32"/>
      <c r="F46" s="32"/>
      <c r="G46" s="132"/>
      <c r="H46" s="32"/>
      <c r="I46" s="32"/>
      <c r="J46" s="132"/>
      <c r="K46" s="32"/>
      <c r="M46" s="32"/>
      <c r="N46" s="32">
        <f>+K46+L46-D46</f>
        <v>0</v>
      </c>
      <c r="O46" s="155"/>
    </row>
    <row r="47" spans="1:16" ht="26.1" customHeight="1" x14ac:dyDescent="0.2">
      <c r="A47" s="70" t="s">
        <v>549</v>
      </c>
      <c r="B47" s="32"/>
      <c r="C47" s="32"/>
      <c r="D47" s="72">
        <f>+K43-K39</f>
        <v>253.60000000000002</v>
      </c>
      <c r="E47" s="32"/>
      <c r="F47" s="32"/>
      <c r="G47" s="132"/>
      <c r="I47" s="32"/>
      <c r="J47" s="132"/>
      <c r="K47" s="47">
        <f>+D47</f>
        <v>253.60000000000002</v>
      </c>
      <c r="M47" s="32"/>
      <c r="N47" s="32">
        <f>+K47+L47-D47</f>
        <v>0</v>
      </c>
      <c r="O47" s="252" t="s">
        <v>639</v>
      </c>
      <c r="P47" s="238"/>
    </row>
    <row r="48" spans="1:16" x14ac:dyDescent="0.2">
      <c r="A48" s="20" t="s">
        <v>636</v>
      </c>
      <c r="B48" s="32"/>
      <c r="C48" s="32"/>
      <c r="D48" s="72"/>
      <c r="E48" s="32"/>
      <c r="F48" s="32">
        <v>-500</v>
      </c>
      <c r="G48" s="132"/>
      <c r="I48" s="32"/>
      <c r="J48" s="132"/>
      <c r="K48" s="47"/>
      <c r="M48" s="32">
        <v>500</v>
      </c>
      <c r="N48" s="32">
        <f>SUM(B7:M7)</f>
        <v>0</v>
      </c>
      <c r="O48" s="156"/>
    </row>
    <row r="49" spans="1:16" x14ac:dyDescent="0.2">
      <c r="A49" s="20" t="s">
        <v>591</v>
      </c>
      <c r="B49" s="32"/>
      <c r="C49" s="32"/>
      <c r="E49" s="32">
        <v>-4000</v>
      </c>
      <c r="F49" s="32">
        <v>4000</v>
      </c>
      <c r="G49" s="132"/>
      <c r="I49" s="32"/>
      <c r="J49" s="132"/>
      <c r="K49" s="32"/>
      <c r="M49" s="32"/>
      <c r="N49" s="32"/>
      <c r="O49" s="155"/>
    </row>
    <row r="50" spans="1:16" x14ac:dyDescent="0.2">
      <c r="B50" s="32"/>
      <c r="C50" s="32"/>
      <c r="D50" s="32"/>
      <c r="E50" s="32"/>
      <c r="F50" s="32"/>
      <c r="G50" s="132"/>
      <c r="H50" s="32"/>
      <c r="I50" s="32"/>
      <c r="J50" s="132"/>
      <c r="K50" s="32"/>
      <c r="M50" s="32"/>
      <c r="N50" s="32">
        <f>+K50+L50-D50</f>
        <v>0</v>
      </c>
      <c r="O50" s="155"/>
    </row>
    <row r="51" spans="1:16" s="20" customFormat="1" x14ac:dyDescent="0.2">
      <c r="A51" s="20" t="s">
        <v>194</v>
      </c>
      <c r="B51" s="39">
        <f t="shared" ref="B51:F51" si="6">+SUM(B43:B50)</f>
        <v>16585.929999999997</v>
      </c>
      <c r="C51" s="39">
        <f t="shared" si="6"/>
        <v>1675.0099999999948</v>
      </c>
      <c r="D51" s="39">
        <f>+SUM(D43:D50)</f>
        <v>-164.07999999999993</v>
      </c>
      <c r="E51" s="39">
        <f t="shared" si="6"/>
        <v>-8676.8600000000024</v>
      </c>
      <c r="F51" s="39">
        <f t="shared" si="6"/>
        <v>-2420</v>
      </c>
      <c r="G51" s="83"/>
      <c r="H51" s="39">
        <f>+SUM(H43:H50)</f>
        <v>-30965.32</v>
      </c>
      <c r="I51" s="39">
        <f>+SUM(I43:I50)</f>
        <v>0</v>
      </c>
      <c r="J51" s="83"/>
      <c r="K51" s="39">
        <v>0</v>
      </c>
      <c r="L51" s="39">
        <f>+SUM(L43:L50)</f>
        <v>23465.32</v>
      </c>
      <c r="M51" s="39">
        <f>+SUM(M43:M50)</f>
        <v>500</v>
      </c>
      <c r="N51" s="32">
        <f>+K51+L51-D51</f>
        <v>23629.4</v>
      </c>
      <c r="O51" s="153"/>
      <c r="P51" s="154"/>
    </row>
    <row r="52" spans="1:16" x14ac:dyDescent="0.2">
      <c r="B52" s="32"/>
      <c r="C52" s="32"/>
      <c r="D52" s="32"/>
      <c r="E52" s="32"/>
      <c r="F52" s="32"/>
      <c r="G52" s="132"/>
      <c r="H52" s="32"/>
      <c r="I52" s="32"/>
      <c r="J52" s="132"/>
      <c r="K52" s="32"/>
      <c r="M52" s="32"/>
      <c r="N52" s="32"/>
      <c r="O52" s="155"/>
    </row>
    <row r="53" spans="1:16" s="20" customFormat="1" x14ac:dyDescent="0.2">
      <c r="A53" s="20" t="s">
        <v>586</v>
      </c>
      <c r="B53" s="39"/>
      <c r="C53" s="39"/>
      <c r="E53" s="111">
        <f>+SUM(H53:I53)+SUM(K53:M53)</f>
        <v>7000</v>
      </c>
      <c r="F53" s="32"/>
      <c r="G53" s="132"/>
      <c r="H53" s="32">
        <f>-H51</f>
        <v>30965.32</v>
      </c>
      <c r="I53" s="32">
        <f>-I43</f>
        <v>0</v>
      </c>
      <c r="J53" s="132"/>
      <c r="K53" s="32">
        <f>-K51</f>
        <v>0</v>
      </c>
      <c r="L53" s="32">
        <f>-L51</f>
        <v>-23465.32</v>
      </c>
      <c r="M53" s="72">
        <f>-M51</f>
        <v>-500</v>
      </c>
      <c r="N53" s="39">
        <f>+SUM(H53:I53)+SUM(K53:M53)</f>
        <v>7000</v>
      </c>
      <c r="O53" s="153"/>
      <c r="P53" s="154"/>
    </row>
    <row r="54" spans="1:16" x14ac:dyDescent="0.2">
      <c r="B54" s="32"/>
      <c r="C54" s="32"/>
      <c r="D54" s="32"/>
      <c r="E54" s="32"/>
      <c r="F54" s="32"/>
      <c r="G54" s="132"/>
      <c r="H54" s="32"/>
      <c r="I54" s="32"/>
      <c r="J54" s="132"/>
      <c r="K54" s="32"/>
      <c r="M54" s="32"/>
      <c r="N54" s="32"/>
      <c r="O54" s="155"/>
    </row>
    <row r="55" spans="1:16" s="20" customFormat="1" x14ac:dyDescent="0.2">
      <c r="A55" s="20" t="s">
        <v>240</v>
      </c>
      <c r="B55" s="39">
        <f>+B51+B53</f>
        <v>16585.929999999997</v>
      </c>
      <c r="C55" s="39">
        <f>+C51+C53</f>
        <v>1675.0099999999948</v>
      </c>
      <c r="D55" s="39">
        <f t="shared" ref="D55:F55" si="7">+D51+D53</f>
        <v>-164.07999999999993</v>
      </c>
      <c r="E55" s="39">
        <f>+E51-E53</f>
        <v>-15676.860000000002</v>
      </c>
      <c r="F55" s="39">
        <f t="shared" si="7"/>
        <v>-2420</v>
      </c>
      <c r="G55" s="83"/>
      <c r="H55" s="39">
        <f t="shared" ref="H55:M55" si="8">+H51+H53</f>
        <v>0</v>
      </c>
      <c r="I55" s="39">
        <f t="shared" si="8"/>
        <v>0</v>
      </c>
      <c r="J55" s="83"/>
      <c r="K55" s="39">
        <f t="shared" si="8"/>
        <v>0</v>
      </c>
      <c r="L55" s="39">
        <f t="shared" si="8"/>
        <v>0</v>
      </c>
      <c r="M55" s="39">
        <f t="shared" si="8"/>
        <v>0</v>
      </c>
      <c r="N55" s="39">
        <f>SUM(B55:F55)</f>
        <v>-9.0949470177292824E-12</v>
      </c>
      <c r="O55" s="153"/>
      <c r="P55" s="154"/>
    </row>
    <row r="57" spans="1:16" s="133" customFormat="1" ht="15" x14ac:dyDescent="0.2">
      <c r="A57" s="133" t="s">
        <v>592</v>
      </c>
      <c r="C57" s="134"/>
      <c r="D57" s="134"/>
      <c r="G57" s="135"/>
      <c r="J57" s="135"/>
      <c r="L57" s="134"/>
      <c r="O57" s="99"/>
      <c r="P57" s="99"/>
    </row>
    <row r="58" spans="1:16" x14ac:dyDescent="0.2">
      <c r="A58" s="70" t="s">
        <v>550</v>
      </c>
      <c r="C58" s="32">
        <f>-F5</f>
        <v>17880</v>
      </c>
      <c r="D58" s="32"/>
    </row>
    <row r="59" spans="1:16" x14ac:dyDescent="0.2">
      <c r="A59" s="70" t="s">
        <v>450</v>
      </c>
      <c r="B59" s="32">
        <f>3*80*12</f>
        <v>2880</v>
      </c>
      <c r="C59" s="32">
        <f>-12*80</f>
        <v>-960</v>
      </c>
      <c r="D59" s="148" t="s">
        <v>621</v>
      </c>
      <c r="E59" s="148" t="s">
        <v>622</v>
      </c>
      <c r="F59">
        <f>80*24</f>
        <v>1920</v>
      </c>
    </row>
    <row r="60" spans="1:16" x14ac:dyDescent="0.2">
      <c r="A60" s="70" t="s">
        <v>560</v>
      </c>
      <c r="B60" s="32">
        <v>4000</v>
      </c>
      <c r="C60" s="32">
        <v>-4000</v>
      </c>
      <c r="D60" s="32"/>
    </row>
    <row r="61" spans="1:16" x14ac:dyDescent="0.2">
      <c r="A61" s="76" t="s">
        <v>561</v>
      </c>
      <c r="B61" s="87">
        <v>4000</v>
      </c>
      <c r="C61" s="32"/>
      <c r="D61" s="32"/>
    </row>
    <row r="62" spans="1:16" x14ac:dyDescent="0.2">
      <c r="A62" s="70" t="s">
        <v>562</v>
      </c>
      <c r="B62" s="32">
        <v>5000</v>
      </c>
      <c r="C62" s="32">
        <v>-5000</v>
      </c>
      <c r="D62" s="32"/>
    </row>
    <row r="63" spans="1:16" x14ac:dyDescent="0.2">
      <c r="A63" s="70" t="s">
        <v>563</v>
      </c>
      <c r="B63" s="136">
        <v>2000</v>
      </c>
      <c r="C63" s="32">
        <v>-2000</v>
      </c>
      <c r="D63" s="32"/>
    </row>
    <row r="64" spans="1:16" x14ac:dyDescent="0.2">
      <c r="A64" s="20"/>
      <c r="C64" s="32">
        <v>-4000</v>
      </c>
      <c r="D64" s="146" t="s">
        <v>623</v>
      </c>
      <c r="G64" s="132"/>
    </row>
    <row r="65" spans="1:7" ht="15" x14ac:dyDescent="0.35">
      <c r="A65" s="20" t="s">
        <v>637</v>
      </c>
      <c r="C65" s="45">
        <v>500</v>
      </c>
      <c r="D65" s="146"/>
      <c r="G65" s="132"/>
    </row>
    <row r="66" spans="1:7" x14ac:dyDescent="0.2">
      <c r="A66" s="20" t="s">
        <v>551</v>
      </c>
      <c r="C66" s="32">
        <f>SUM(C58:C65)</f>
        <v>2420</v>
      </c>
      <c r="D66" s="146"/>
      <c r="G66" s="132"/>
    </row>
    <row r="67" spans="1:7" x14ac:dyDescent="0.2">
      <c r="C67" s="32"/>
      <c r="D67" s="32"/>
    </row>
    <row r="68" spans="1:7" x14ac:dyDescent="0.2">
      <c r="A68" s="20" t="s">
        <v>601</v>
      </c>
      <c r="C68" s="32">
        <f>+E55</f>
        <v>-15676.860000000002</v>
      </c>
      <c r="D68" s="146" t="s">
        <v>634</v>
      </c>
    </row>
    <row r="70" spans="1:7" x14ac:dyDescent="0.2">
      <c r="A70" s="20" t="s">
        <v>604</v>
      </c>
      <c r="D70" s="70"/>
    </row>
    <row r="71" spans="1:7" x14ac:dyDescent="0.2">
      <c r="A71" s="99" t="s">
        <v>602</v>
      </c>
      <c r="B71" s="145" t="s">
        <v>603</v>
      </c>
      <c r="C71" s="70"/>
      <c r="D71" s="32">
        <f>+L53</f>
        <v>-23465.32</v>
      </c>
    </row>
    <row r="72" spans="1:7" x14ac:dyDescent="0.2">
      <c r="A72" s="147" t="s">
        <v>625</v>
      </c>
      <c r="B72" s="47"/>
      <c r="C72" s="70"/>
      <c r="D72" s="32">
        <f>+H40+H36+H23+H22+H39</f>
        <v>-23465.319999999996</v>
      </c>
    </row>
    <row r="74" spans="1:7" x14ac:dyDescent="0.2">
      <c r="D74" s="112">
        <f>+D72-D71</f>
        <v>0</v>
      </c>
    </row>
  </sheetData>
  <mergeCells count="1">
    <mergeCell ref="O47:P47"/>
  </mergeCells>
  <printOptions gridLines="1"/>
  <pageMargins left="0.74803149606299213" right="0.74803149606299213" top="0.98425196850393704" bottom="0.98425196850393704" header="0.51181102362204722" footer="0.51181102362204722"/>
  <pageSetup paperSize="9" scale="55" orientation="portrait" r:id="rId1"/>
  <headerFooter alignWithMargins="0">
    <oddFooter>&amp;L&amp;F, &amp;A&amp;R&amp;D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0"/>
  <sheetViews>
    <sheetView zoomScaleNormal="100" workbookViewId="0">
      <selection activeCell="C1" sqref="C1"/>
    </sheetView>
  </sheetViews>
  <sheetFormatPr defaultColWidth="8.85546875" defaultRowHeight="12.75" x14ac:dyDescent="0.2"/>
  <cols>
    <col min="1" max="1" width="6.42578125" customWidth="1"/>
    <col min="3" max="3" width="40.28515625" customWidth="1"/>
    <col min="4" max="4" width="9.140625" style="4" customWidth="1"/>
    <col min="6" max="6" width="2.1406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s>
  <sheetData>
    <row r="1" spans="1:21" ht="20.25" x14ac:dyDescent="0.3">
      <c r="A1" s="10" t="s">
        <v>69</v>
      </c>
    </row>
    <row r="3" spans="1:21" s="109" customFormat="1" x14ac:dyDescent="0.2">
      <c r="D3" s="247">
        <v>43830</v>
      </c>
      <c r="E3" s="247"/>
      <c r="G3" s="247">
        <v>43465</v>
      </c>
      <c r="H3" s="247"/>
      <c r="J3" s="247">
        <v>43100</v>
      </c>
      <c r="K3" s="247"/>
      <c r="M3" s="247">
        <v>42735</v>
      </c>
      <c r="N3" s="247"/>
      <c r="P3" s="247">
        <v>42369</v>
      </c>
      <c r="Q3" s="247"/>
      <c r="S3" s="247">
        <v>42004</v>
      </c>
      <c r="T3" s="247"/>
    </row>
    <row r="4" spans="1:21" x14ac:dyDescent="0.2">
      <c r="D4" s="248" t="s">
        <v>73</v>
      </c>
      <c r="E4" s="248"/>
      <c r="G4" s="248" t="s">
        <v>73</v>
      </c>
      <c r="H4" s="248"/>
      <c r="J4" s="248" t="s">
        <v>73</v>
      </c>
      <c r="K4" s="248"/>
      <c r="M4" s="248" t="s">
        <v>73</v>
      </c>
      <c r="N4" s="248"/>
      <c r="P4" s="248" t="s">
        <v>73</v>
      </c>
      <c r="Q4" s="248"/>
      <c r="S4" s="248" t="s">
        <v>73</v>
      </c>
      <c r="T4" s="248"/>
    </row>
    <row r="5" spans="1:21" ht="15.75" x14ac:dyDescent="0.25">
      <c r="A5" s="2" t="s">
        <v>21</v>
      </c>
      <c r="E5" s="8"/>
      <c r="H5" s="8"/>
      <c r="K5" s="8"/>
      <c r="N5" s="8"/>
      <c r="Q5" s="8"/>
      <c r="T5" s="8"/>
    </row>
    <row r="6" spans="1:21" s="12" customFormat="1" ht="19.5" customHeight="1" x14ac:dyDescent="0.2">
      <c r="A6" s="11" t="s">
        <v>23</v>
      </c>
      <c r="D6" s="68"/>
      <c r="E6" s="14"/>
      <c r="G6" s="68"/>
      <c r="H6" s="130"/>
      <c r="J6" s="68"/>
      <c r="K6" s="130"/>
      <c r="M6" s="68"/>
      <c r="N6" s="130"/>
      <c r="P6" s="68"/>
      <c r="Q6" s="130"/>
      <c r="S6" s="68"/>
      <c r="T6" s="130"/>
    </row>
    <row r="7" spans="1:21" x14ac:dyDescent="0.2">
      <c r="A7" t="s">
        <v>25</v>
      </c>
      <c r="E7" s="8">
        <v>0</v>
      </c>
      <c r="H7" s="8">
        <v>0</v>
      </c>
      <c r="K7" s="8">
        <v>0</v>
      </c>
      <c r="N7" s="8">
        <v>0</v>
      </c>
      <c r="Q7" s="8">
        <v>0</v>
      </c>
      <c r="T7" s="8">
        <v>0</v>
      </c>
    </row>
    <row r="8" spans="1:21" x14ac:dyDescent="0.2">
      <c r="E8" s="8"/>
      <c r="H8" s="8"/>
      <c r="K8" s="8"/>
      <c r="N8" s="8"/>
      <c r="Q8" s="8"/>
      <c r="T8" s="8"/>
    </row>
    <row r="9" spans="1:21" s="12" customFormat="1" ht="19.5" customHeight="1" x14ac:dyDescent="0.2">
      <c r="A9" s="11" t="s">
        <v>24</v>
      </c>
      <c r="D9" s="68"/>
      <c r="E9" s="14"/>
      <c r="G9" s="68"/>
      <c r="H9" s="130"/>
      <c r="J9" s="68"/>
      <c r="K9" s="130"/>
      <c r="M9" s="68"/>
      <c r="N9" s="130"/>
      <c r="P9" s="68"/>
      <c r="Q9" s="130"/>
      <c r="S9" s="68"/>
      <c r="T9" s="130"/>
    </row>
    <row r="10" spans="1:21" x14ac:dyDescent="0.2">
      <c r="A10" t="s">
        <v>26</v>
      </c>
      <c r="D10" s="4">
        <f>'kolommenbalans 2019'!D55</f>
        <v>-164.07999999999993</v>
      </c>
      <c r="E10" s="15"/>
      <c r="G10" s="4">
        <v>200</v>
      </c>
      <c r="H10" s="15"/>
      <c r="J10" s="4">
        <v>1894.85</v>
      </c>
      <c r="K10" s="15"/>
      <c r="M10" s="4">
        <v>167.54</v>
      </c>
      <c r="N10" s="15"/>
      <c r="P10" s="4">
        <v>163.28</v>
      </c>
      <c r="Q10" s="15"/>
      <c r="S10" s="4">
        <v>112.35</v>
      </c>
      <c r="T10" s="15"/>
    </row>
    <row r="11" spans="1:21" ht="13.5" thickBot="1" x14ac:dyDescent="0.25">
      <c r="A11" s="70" t="s">
        <v>427</v>
      </c>
      <c r="D11" s="9">
        <f>+'kolommenbalans 2019'!B55+'kolommenbalans 2019'!C55</f>
        <v>18260.939999999991</v>
      </c>
      <c r="E11" s="8"/>
      <c r="G11" s="9">
        <v>22357</v>
      </c>
      <c r="H11" s="8"/>
      <c r="J11" s="9">
        <v>21340.339999999997</v>
      </c>
      <c r="K11" s="8"/>
      <c r="M11" s="9">
        <v>19843.679999999993</v>
      </c>
      <c r="N11" s="8"/>
      <c r="P11" s="4">
        <v>21437.119999999995</v>
      </c>
      <c r="Q11" s="8"/>
      <c r="S11" s="9">
        <v>18681.909999999996</v>
      </c>
      <c r="T11" s="8"/>
    </row>
    <row r="12" spans="1:21" ht="13.5" thickBot="1" x14ac:dyDescent="0.25">
      <c r="E12" s="16">
        <f>+D11+D10</f>
        <v>18096.859999999993</v>
      </c>
      <c r="H12" s="16">
        <f>+G11+G10</f>
        <v>22557</v>
      </c>
      <c r="K12" s="16">
        <v>23235.189999999995</v>
      </c>
      <c r="N12" s="16">
        <v>20011.219999999994</v>
      </c>
      <c r="Q12" s="16">
        <v>21600.399999999994</v>
      </c>
      <c r="T12" s="16">
        <v>18794.259999999995</v>
      </c>
    </row>
    <row r="13" spans="1:21" ht="19.5" customHeight="1" x14ac:dyDescent="0.2">
      <c r="A13" s="3"/>
      <c r="C13" s="29" t="s">
        <v>55</v>
      </c>
      <c r="D13" s="30"/>
      <c r="E13" s="18">
        <f>+E12+E7</f>
        <v>18096.859999999993</v>
      </c>
      <c r="F13" s="29"/>
      <c r="G13" s="30"/>
      <c r="H13" s="18">
        <f>+H12+H7</f>
        <v>22557</v>
      </c>
      <c r="I13" s="29"/>
      <c r="J13" s="30"/>
      <c r="K13" s="18">
        <v>23235.189999999995</v>
      </c>
      <c r="L13" s="29"/>
      <c r="M13" s="30"/>
      <c r="N13" s="18">
        <v>20011.219999999994</v>
      </c>
      <c r="O13" s="29"/>
      <c r="P13" s="30"/>
      <c r="Q13" s="18">
        <v>21600.399999999994</v>
      </c>
      <c r="R13" s="29"/>
      <c r="S13" s="30"/>
      <c r="T13" s="18">
        <v>18794.259999999995</v>
      </c>
      <c r="U13" s="29"/>
    </row>
    <row r="14" spans="1:21" x14ac:dyDescent="0.2">
      <c r="E14" s="8"/>
      <c r="H14" s="8"/>
      <c r="K14" s="8"/>
      <c r="N14" s="8"/>
      <c r="Q14" s="8"/>
      <c r="T14" s="8"/>
    </row>
    <row r="15" spans="1:21" ht="15.75" x14ac:dyDescent="0.25">
      <c r="A15" s="2" t="s">
        <v>22</v>
      </c>
      <c r="E15" s="8"/>
      <c r="H15" s="8"/>
      <c r="K15" s="8"/>
      <c r="N15" s="8"/>
      <c r="Q15" s="8"/>
      <c r="T15" s="8"/>
    </row>
    <row r="16" spans="1:21" ht="19.5" customHeight="1" x14ac:dyDescent="0.2">
      <c r="A16" s="11" t="s">
        <v>29</v>
      </c>
      <c r="E16" s="8"/>
      <c r="H16" s="8"/>
      <c r="K16" s="8"/>
      <c r="N16" s="8"/>
      <c r="Q16" s="8"/>
      <c r="T16" s="8"/>
    </row>
    <row r="17" spans="1:21" x14ac:dyDescent="0.2">
      <c r="A17" t="s">
        <v>28</v>
      </c>
      <c r="D17" s="5">
        <f>-'kolommenbalans 2019'!E55</f>
        <v>15676.860000000002</v>
      </c>
      <c r="E17" s="8"/>
      <c r="G17" s="5">
        <v>4677</v>
      </c>
      <c r="H17" s="8"/>
      <c r="J17" s="5">
        <v>12645.189999999995</v>
      </c>
      <c r="K17" s="8"/>
      <c r="M17" s="5">
        <v>4230.5700000000015</v>
      </c>
      <c r="N17" s="8"/>
      <c r="P17" s="5">
        <v>14848.090000000002</v>
      </c>
      <c r="Q17" s="8"/>
      <c r="S17" s="5">
        <v>12794.26</v>
      </c>
      <c r="T17" s="8"/>
    </row>
    <row r="18" spans="1:21" x14ac:dyDescent="0.2">
      <c r="A18" s="70" t="s">
        <v>428</v>
      </c>
      <c r="D18" s="5">
        <f>-'kolommenbalans 2019'!F55</f>
        <v>2420</v>
      </c>
      <c r="E18" s="8"/>
      <c r="G18" s="5">
        <v>17880</v>
      </c>
      <c r="H18" s="8"/>
      <c r="J18" s="5">
        <v>10590</v>
      </c>
      <c r="K18" s="8"/>
      <c r="M18" s="5">
        <v>15780.65</v>
      </c>
      <c r="N18" s="8"/>
      <c r="P18" s="5">
        <v>6752.3099999999995</v>
      </c>
      <c r="Q18" s="8"/>
      <c r="S18" s="5">
        <v>6000</v>
      </c>
      <c r="T18" s="8"/>
    </row>
    <row r="19" spans="1:21" ht="13.5" thickBot="1" x14ac:dyDescent="0.25">
      <c r="A19" t="s">
        <v>17</v>
      </c>
      <c r="D19" s="9"/>
      <c r="E19" s="8"/>
      <c r="G19" s="9">
        <v>0</v>
      </c>
      <c r="H19" s="8"/>
      <c r="J19" s="131">
        <v>0</v>
      </c>
      <c r="K19" s="8"/>
      <c r="M19" s="9">
        <v>0</v>
      </c>
      <c r="N19" s="8"/>
      <c r="P19" s="9">
        <v>0</v>
      </c>
      <c r="Q19" s="8"/>
      <c r="S19" s="9">
        <v>0</v>
      </c>
      <c r="T19" s="8"/>
    </row>
    <row r="20" spans="1:21" s="12" customFormat="1" ht="13.5" customHeight="1" x14ac:dyDescent="0.2">
      <c r="D20" s="68"/>
      <c r="E20" s="49">
        <f>+D19+D17+D18</f>
        <v>18096.86</v>
      </c>
      <c r="G20" s="68"/>
      <c r="H20" s="8">
        <f>+G19+G17+G18</f>
        <v>22557</v>
      </c>
      <c r="J20" s="68"/>
      <c r="K20" s="8">
        <v>23235.189999999995</v>
      </c>
      <c r="M20" s="68"/>
      <c r="N20" s="8">
        <v>20011.22</v>
      </c>
      <c r="P20" s="68"/>
      <c r="Q20" s="8">
        <v>21600.400000000001</v>
      </c>
      <c r="S20" s="68"/>
      <c r="T20" s="8">
        <v>18794.260000000002</v>
      </c>
    </row>
    <row r="21" spans="1:21" x14ac:dyDescent="0.2">
      <c r="E21" s="8"/>
      <c r="H21" s="8"/>
      <c r="K21" s="8"/>
      <c r="N21" s="8"/>
      <c r="Q21" s="8"/>
      <c r="T21" s="8"/>
    </row>
    <row r="22" spans="1:21" s="12" customFormat="1" ht="13.5" thickBot="1" x14ac:dyDescent="0.25">
      <c r="A22" s="11" t="s">
        <v>30</v>
      </c>
      <c r="E22" s="16">
        <v>0</v>
      </c>
      <c r="H22" s="16">
        <v>0</v>
      </c>
      <c r="K22" s="16">
        <v>0</v>
      </c>
      <c r="N22" s="16">
        <v>0</v>
      </c>
      <c r="Q22" s="16">
        <v>0</v>
      </c>
      <c r="T22" s="16">
        <v>0</v>
      </c>
    </row>
    <row r="23" spans="1:21" ht="19.5" customHeight="1" x14ac:dyDescent="0.2">
      <c r="C23" s="29" t="s">
        <v>55</v>
      </c>
      <c r="D23" s="30"/>
      <c r="E23" s="18">
        <f>+E20</f>
        <v>18096.86</v>
      </c>
      <c r="F23" s="29"/>
      <c r="G23" s="30"/>
      <c r="H23" s="18">
        <f>+H20</f>
        <v>22557</v>
      </c>
      <c r="I23" s="29"/>
      <c r="J23" s="30"/>
      <c r="K23" s="18">
        <v>23235.189999999995</v>
      </c>
      <c r="L23" s="29"/>
      <c r="M23" s="30"/>
      <c r="N23" s="18">
        <v>20011.22</v>
      </c>
      <c r="O23" s="29"/>
      <c r="P23" s="30"/>
      <c r="Q23" s="18">
        <v>21600.400000000001</v>
      </c>
      <c r="R23" s="29"/>
      <c r="S23" s="30"/>
      <c r="T23" s="18">
        <v>18794.260000000002</v>
      </c>
      <c r="U23" s="29"/>
    </row>
    <row r="24" spans="1:21" ht="19.5" customHeight="1" x14ac:dyDescent="0.2">
      <c r="E24" s="18"/>
      <c r="H24" s="18"/>
      <c r="K24" s="18"/>
      <c r="N24" s="18"/>
      <c r="Q24" s="18"/>
      <c r="T24" s="18"/>
    </row>
    <row r="25" spans="1:21" ht="19.5" customHeight="1" x14ac:dyDescent="0.2">
      <c r="E25" s="18"/>
      <c r="H25" s="18"/>
      <c r="K25" s="18"/>
      <c r="N25" s="18"/>
      <c r="Q25" s="18"/>
      <c r="T25" s="18"/>
    </row>
    <row r="27" spans="1:21" x14ac:dyDescent="0.2">
      <c r="E27" s="52"/>
      <c r="H27" s="52"/>
      <c r="K27" s="52"/>
      <c r="N27" s="52"/>
      <c r="Q27" s="52"/>
      <c r="T27" s="52"/>
    </row>
    <row r="28" spans="1:21" x14ac:dyDescent="0.2">
      <c r="A28" t="s">
        <v>31</v>
      </c>
      <c r="C28" s="70" t="s">
        <v>581</v>
      </c>
      <c r="F28" s="70"/>
    </row>
    <row r="29" spans="1:21" x14ac:dyDescent="0.2">
      <c r="A29" s="70" t="s">
        <v>470</v>
      </c>
    </row>
    <row r="30" spans="1:21" x14ac:dyDescent="0.2">
      <c r="A30" t="s">
        <v>471</v>
      </c>
    </row>
  </sheetData>
  <mergeCells count="12">
    <mergeCell ref="P3:Q3"/>
    <mergeCell ref="S3:T3"/>
    <mergeCell ref="G4:H4"/>
    <mergeCell ref="J4:K4"/>
    <mergeCell ref="M4:N4"/>
    <mergeCell ref="P4:Q4"/>
    <mergeCell ref="S4:T4"/>
    <mergeCell ref="D3:E3"/>
    <mergeCell ref="D4:E4"/>
    <mergeCell ref="G3:H3"/>
    <mergeCell ref="J3:K3"/>
    <mergeCell ref="M3:N3"/>
  </mergeCells>
  <pageMargins left="0.75" right="0.5" top="0.98" bottom="0.98" header="0.51" footer="0.51"/>
  <pageSetup scale="70" orientation="landscape" r:id="rId1"/>
  <headerFooter alignWithMargins="0">
    <oddFooter>&amp;L&amp;F, &amp;A&amp;R&amp;D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zoomScale="107" zoomScaleNormal="100" workbookViewId="0">
      <selection activeCell="C1" sqref="C1"/>
    </sheetView>
  </sheetViews>
  <sheetFormatPr defaultColWidth="8.85546875" defaultRowHeight="12.75" x14ac:dyDescent="0.2"/>
  <cols>
    <col min="1" max="1" width="9.28515625" customWidth="1"/>
    <col min="2" max="2" width="62.140625" customWidth="1"/>
    <col min="3" max="3" width="9.7109375" style="44" bestFit="1" customWidth="1"/>
    <col min="6" max="6" width="9.28515625" bestFit="1" customWidth="1"/>
  </cols>
  <sheetData>
    <row r="1" spans="1:3" s="104" customFormat="1" ht="15.75" x14ac:dyDescent="0.25">
      <c r="A1" s="104" t="s">
        <v>583</v>
      </c>
      <c r="C1" s="105"/>
    </row>
    <row r="3" spans="1:3" x14ac:dyDescent="0.2">
      <c r="A3" s="20" t="s">
        <v>584</v>
      </c>
      <c r="C3" s="33" t="s">
        <v>73</v>
      </c>
    </row>
    <row r="4" spans="1:3" x14ac:dyDescent="0.2">
      <c r="A4" t="s">
        <v>597</v>
      </c>
      <c r="C4" s="44">
        <f>+'kolommenbalans 2019'!K12</f>
        <v>26.83</v>
      </c>
    </row>
    <row r="5" spans="1:3" x14ac:dyDescent="0.2">
      <c r="A5" t="s">
        <v>77</v>
      </c>
    </row>
    <row r="6" spans="1:3" x14ac:dyDescent="0.2">
      <c r="A6" t="s">
        <v>593</v>
      </c>
      <c r="C6" s="44">
        <f>+'kolommenbalans 2019'!K19</f>
        <v>27.61</v>
      </c>
    </row>
    <row r="7" spans="1:3" x14ac:dyDescent="0.2">
      <c r="A7" t="s">
        <v>77</v>
      </c>
    </row>
    <row r="8" spans="1:3" x14ac:dyDescent="0.2">
      <c r="A8" t="s">
        <v>594</v>
      </c>
      <c r="C8" s="44">
        <f>+'kolommenbalans 2019'!K27</f>
        <v>27.09</v>
      </c>
    </row>
    <row r="9" spans="1:3" x14ac:dyDescent="0.2">
      <c r="A9" t="s">
        <v>77</v>
      </c>
    </row>
    <row r="10" spans="1:3" x14ac:dyDescent="0.2">
      <c r="A10" t="s">
        <v>595</v>
      </c>
      <c r="C10" s="44">
        <f>+'kolommenbalans 2019'!K31</f>
        <v>26.57</v>
      </c>
    </row>
    <row r="11" spans="1:3" x14ac:dyDescent="0.2">
      <c r="A11" t="s">
        <v>77</v>
      </c>
    </row>
    <row r="12" spans="1:3" x14ac:dyDescent="0.2">
      <c r="A12" t="s">
        <v>598</v>
      </c>
      <c r="C12" s="44">
        <f>+'kolommenbalans 2019'!K34</f>
        <v>8.83</v>
      </c>
    </row>
    <row r="13" spans="1:3" x14ac:dyDescent="0.2">
      <c r="A13" t="s">
        <v>599</v>
      </c>
      <c r="C13" s="44">
        <f>+'kolommenbalans 2019'!K41</f>
        <v>9.27</v>
      </c>
    </row>
    <row r="14" spans="1:3" x14ac:dyDescent="0.2">
      <c r="A14" s="70" t="s">
        <v>608</v>
      </c>
      <c r="C14" s="44">
        <f>+'kolommenbalans 2019'!K7</f>
        <v>59.82</v>
      </c>
    </row>
    <row r="15" spans="1:3" x14ac:dyDescent="0.2">
      <c r="A15" t="s">
        <v>77</v>
      </c>
    </row>
    <row r="16" spans="1:3" x14ac:dyDescent="0.2">
      <c r="A16" s="147" t="s">
        <v>618</v>
      </c>
      <c r="C16" s="44">
        <f>+'kolommenbalans 2019'!K11+'kolommenbalans 2019'!K25</f>
        <v>67.58</v>
      </c>
    </row>
    <row r="17" spans="1:6" s="20" customFormat="1" x14ac:dyDescent="0.2">
      <c r="A17" s="20" t="s">
        <v>627</v>
      </c>
      <c r="C17" s="39">
        <f>SUM(C4:C16)</f>
        <v>253.59999999999997</v>
      </c>
    </row>
    <row r="18" spans="1:6" x14ac:dyDescent="0.2">
      <c r="A18" s="147" t="s">
        <v>620</v>
      </c>
      <c r="C18" s="44">
        <v>-417.68</v>
      </c>
    </row>
    <row r="19" spans="1:6" x14ac:dyDescent="0.2">
      <c r="A19" s="147" t="s">
        <v>630</v>
      </c>
      <c r="C19" s="44">
        <v>11.88</v>
      </c>
    </row>
    <row r="20" spans="1:6" x14ac:dyDescent="0.2">
      <c r="A20" s="20" t="s">
        <v>596</v>
      </c>
    </row>
    <row r="21" spans="1:6" x14ac:dyDescent="0.2">
      <c r="A21" s="20" t="s">
        <v>628</v>
      </c>
      <c r="C21" s="39">
        <f>+C17+C18+C19</f>
        <v>-152.20000000000005</v>
      </c>
      <c r="D21" s="149">
        <f>+SUM(C4:C16)+C18+C19</f>
        <v>-152.20000000000005</v>
      </c>
    </row>
    <row r="22" spans="1:6" s="20" customFormat="1" x14ac:dyDescent="0.2">
      <c r="C22" s="39"/>
    </row>
    <row r="23" spans="1:6" x14ac:dyDescent="0.2">
      <c r="A23" s="20" t="s">
        <v>600</v>
      </c>
    </row>
    <row r="24" spans="1:6" x14ac:dyDescent="0.2">
      <c r="A24" s="70" t="s">
        <v>462</v>
      </c>
      <c r="C24" s="72">
        <v>4800</v>
      </c>
      <c r="F24" s="70"/>
    </row>
    <row r="25" spans="1:6" x14ac:dyDescent="0.2">
      <c r="A25" s="20"/>
      <c r="B25" s="71" t="s">
        <v>455</v>
      </c>
      <c r="C25" s="72">
        <f>-12*80*3</f>
        <v>-2880</v>
      </c>
      <c r="E25" s="70"/>
      <c r="F25" s="47"/>
    </row>
    <row r="26" spans="1:6" s="144" customFormat="1" x14ac:dyDescent="0.2">
      <c r="A26" s="141"/>
      <c r="B26" s="142" t="s">
        <v>585</v>
      </c>
      <c r="C26" s="143">
        <f>+C25+C24</f>
        <v>1920</v>
      </c>
    </row>
    <row r="27" spans="1:6" ht="0.95" customHeight="1" x14ac:dyDescent="0.2">
      <c r="A27" s="70"/>
      <c r="C27" s="150"/>
      <c r="D27" s="70"/>
    </row>
    <row r="28" spans="1:6" ht="30.75" customHeight="1" x14ac:dyDescent="0.2">
      <c r="A28" s="258" t="s">
        <v>629</v>
      </c>
      <c r="B28" s="238"/>
      <c r="C28" s="39">
        <v>4000</v>
      </c>
      <c r="E28" s="70"/>
      <c r="F28" s="47"/>
    </row>
    <row r="29" spans="1:6" x14ac:dyDescent="0.2">
      <c r="B29" s="70"/>
    </row>
    <row r="30" spans="1:6" x14ac:dyDescent="0.2">
      <c r="B30" s="70"/>
      <c r="C30" s="39"/>
    </row>
    <row r="31" spans="1:6" x14ac:dyDescent="0.2">
      <c r="A31" s="70"/>
    </row>
    <row r="32" spans="1:6" x14ac:dyDescent="0.2">
      <c r="A32" s="70"/>
    </row>
  </sheetData>
  <mergeCells count="1">
    <mergeCell ref="A28:B28"/>
  </mergeCells>
  <pageMargins left="0.74803149606299213" right="0.74803149606299213" top="0.98425196850393704" bottom="0.98425196850393704" header="0.51181102362204722" footer="0.51181102362204722"/>
  <pageSetup orientation="portrait" r:id="rId1"/>
  <headerFooter alignWithMargins="0">
    <oddFooter>&amp;L&amp;F, &amp;A&amp;R&amp;D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4"/>
  <sheetViews>
    <sheetView topLeftCell="A7" workbookViewId="0">
      <selection activeCell="E30" sqref="E30"/>
    </sheetView>
  </sheetViews>
  <sheetFormatPr defaultColWidth="8.85546875" defaultRowHeight="12.75" x14ac:dyDescent="0.2"/>
  <cols>
    <col min="1" max="16384" width="8.85546875" style="121"/>
  </cols>
  <sheetData>
    <row r="1" spans="1:10" ht="18" x14ac:dyDescent="0.25">
      <c r="A1" s="120" t="s">
        <v>527</v>
      </c>
    </row>
    <row r="3" spans="1:10" x14ac:dyDescent="0.2">
      <c r="A3" s="122" t="s">
        <v>528</v>
      </c>
    </row>
    <row r="4" spans="1:10" x14ac:dyDescent="0.2">
      <c r="A4" s="123" t="s">
        <v>529</v>
      </c>
    </row>
    <row r="6" spans="1:10" ht="14.25" x14ac:dyDescent="0.2">
      <c r="A6" s="124" t="s">
        <v>530</v>
      </c>
      <c r="J6" s="121" t="s">
        <v>548</v>
      </c>
    </row>
    <row r="7" spans="1:10" ht="14.25" x14ac:dyDescent="0.2">
      <c r="A7" s="124"/>
    </row>
    <row r="8" spans="1:10" x14ac:dyDescent="0.2">
      <c r="A8" s="122" t="s">
        <v>531</v>
      </c>
    </row>
    <row r="9" spans="1:10" x14ac:dyDescent="0.2">
      <c r="A9" s="123" t="s">
        <v>532</v>
      </c>
    </row>
    <row r="10" spans="1:10" x14ac:dyDescent="0.2">
      <c r="A10" s="121" t="s">
        <v>533</v>
      </c>
    </row>
    <row r="11" spans="1:10" x14ac:dyDescent="0.2">
      <c r="B11" s="123" t="s">
        <v>275</v>
      </c>
    </row>
    <row r="12" spans="1:10" x14ac:dyDescent="0.2">
      <c r="B12" s="121" t="s">
        <v>534</v>
      </c>
    </row>
    <row r="13" spans="1:10" ht="26.25" customHeight="1" x14ac:dyDescent="0.2">
      <c r="A13" s="259" t="s">
        <v>535</v>
      </c>
      <c r="B13" s="260"/>
      <c r="C13" s="260"/>
      <c r="D13" s="260"/>
      <c r="E13" s="260"/>
      <c r="F13" s="260"/>
      <c r="G13" s="260"/>
      <c r="H13" s="260"/>
      <c r="I13" s="260"/>
    </row>
    <row r="14" spans="1:10" x14ac:dyDescent="0.2">
      <c r="A14" s="261" t="s">
        <v>536</v>
      </c>
      <c r="B14" s="260"/>
      <c r="C14" s="260"/>
      <c r="D14" s="260"/>
      <c r="E14" s="260"/>
      <c r="F14" s="260"/>
      <c r="G14" s="260"/>
      <c r="H14" s="260"/>
      <c r="I14" s="260"/>
      <c r="J14" s="260"/>
    </row>
    <row r="15" spans="1:10" x14ac:dyDescent="0.2">
      <c r="A15" s="121" t="s">
        <v>537</v>
      </c>
    </row>
    <row r="16" spans="1:10" x14ac:dyDescent="0.2">
      <c r="A16" s="121" t="s">
        <v>538</v>
      </c>
    </row>
    <row r="17" spans="1:6" x14ac:dyDescent="0.2">
      <c r="B17" s="121" t="s">
        <v>539</v>
      </c>
      <c r="D17" s="121" t="s">
        <v>540</v>
      </c>
    </row>
    <row r="18" spans="1:6" x14ac:dyDescent="0.2">
      <c r="D18" s="121" t="s">
        <v>541</v>
      </c>
    </row>
    <row r="20" spans="1:6" x14ac:dyDescent="0.2">
      <c r="A20" s="129" t="s">
        <v>554</v>
      </c>
    </row>
    <row r="21" spans="1:6" x14ac:dyDescent="0.2">
      <c r="A21" s="121" t="s">
        <v>529</v>
      </c>
    </row>
    <row r="23" spans="1:6" x14ac:dyDescent="0.2">
      <c r="A23" s="129" t="s">
        <v>511</v>
      </c>
    </row>
    <row r="24" spans="1:6" x14ac:dyDescent="0.2">
      <c r="A24" s="121" t="s">
        <v>508</v>
      </c>
    </row>
    <row r="25" spans="1:6" x14ac:dyDescent="0.2">
      <c r="A25" s="121" t="s">
        <v>519</v>
      </c>
      <c r="D25" s="121" t="s">
        <v>520</v>
      </c>
      <c r="F25" s="121" t="s">
        <v>553</v>
      </c>
    </row>
    <row r="26" spans="1:6" x14ac:dyDescent="0.2">
      <c r="A26" s="121" t="s">
        <v>545</v>
      </c>
    </row>
    <row r="27" spans="1:6" x14ac:dyDescent="0.2">
      <c r="A27" s="121" t="s">
        <v>546</v>
      </c>
    </row>
    <row r="28" spans="1:6" x14ac:dyDescent="0.2">
      <c r="A28" s="121" t="s">
        <v>517</v>
      </c>
      <c r="C28" s="121" t="s">
        <v>518</v>
      </c>
      <c r="E28" s="121" t="s">
        <v>547</v>
      </c>
    </row>
    <row r="32" spans="1:6" s="125" customFormat="1" x14ac:dyDescent="0.2">
      <c r="A32" s="125" t="s">
        <v>542</v>
      </c>
    </row>
    <row r="33" spans="1:10" s="125" customFormat="1" ht="15.75" x14ac:dyDescent="0.2">
      <c r="A33" s="126" t="s">
        <v>271</v>
      </c>
    </row>
    <row r="34" spans="1:10" s="125" customFormat="1" ht="15.75" x14ac:dyDescent="0.2">
      <c r="A34" s="126"/>
      <c r="B34" s="125" t="s">
        <v>278</v>
      </c>
    </row>
    <row r="35" spans="1:10" s="125" customFormat="1" ht="15.75" x14ac:dyDescent="0.2">
      <c r="A35" s="126"/>
      <c r="B35" s="127" t="s">
        <v>272</v>
      </c>
      <c r="J35" s="128" t="s">
        <v>543</v>
      </c>
    </row>
    <row r="36" spans="1:10" s="125" customFormat="1" x14ac:dyDescent="0.2"/>
    <row r="37" spans="1:10" s="125" customFormat="1" ht="15.75" x14ac:dyDescent="0.2">
      <c r="A37" s="126"/>
    </row>
    <row r="38" spans="1:10" s="125" customFormat="1" ht="15.75" x14ac:dyDescent="0.2">
      <c r="A38" s="126" t="s">
        <v>273</v>
      </c>
    </row>
    <row r="39" spans="1:10" s="125" customFormat="1" ht="15.75" x14ac:dyDescent="0.2">
      <c r="A39" s="126"/>
      <c r="B39" s="125" t="s">
        <v>544</v>
      </c>
    </row>
    <row r="40" spans="1:10" s="125" customFormat="1" ht="15.75" x14ac:dyDescent="0.2">
      <c r="A40" s="126" t="s">
        <v>274</v>
      </c>
    </row>
    <row r="41" spans="1:10" s="125" customFormat="1" x14ac:dyDescent="0.2">
      <c r="A41" s="127" t="s">
        <v>275</v>
      </c>
    </row>
    <row r="42" spans="1:10" s="125" customFormat="1" ht="15.75" x14ac:dyDescent="0.2">
      <c r="A42" s="126" t="s">
        <v>276</v>
      </c>
    </row>
    <row r="43" spans="1:10" s="125" customFormat="1" ht="15.75" x14ac:dyDescent="0.2">
      <c r="A43" s="126"/>
    </row>
    <row r="44" spans="1:10" s="125" customFormat="1" ht="15.75" x14ac:dyDescent="0.2">
      <c r="A44" s="126" t="s">
        <v>277</v>
      </c>
    </row>
  </sheetData>
  <mergeCells count="2">
    <mergeCell ref="A13:I13"/>
    <mergeCell ref="A14:J14"/>
  </mergeCells>
  <hyperlinks>
    <hyperlink ref="B35" r:id="rId1" xr:uid="{00000000-0004-0000-0500-000000000000}"/>
    <hyperlink ref="A41" r:id="rId2" display="mailto:driewassendemanen@gmail.com" xr:uid="{00000000-0004-0000-0500-000001000000}"/>
    <hyperlink ref="A4" r:id="rId3" xr:uid="{00000000-0004-0000-0500-000002000000}"/>
    <hyperlink ref="B11" r:id="rId4" xr:uid="{00000000-0004-0000-0500-000003000000}"/>
    <hyperlink ref="A9" r:id="rId5" xr:uid="{00000000-0004-0000-0500-000004000000}"/>
  </hyperlinks>
  <pageMargins left="0.70866141732283472" right="0.70866141732283472" top="0.74803149606299213" bottom="0.74803149606299213" header="0.31496062992125984" footer="0.31496062992125984"/>
  <pageSetup paperSize="9" orientation="portrait" r:id="rId6"/>
  <headerFooter>
    <oddFooter>&amp;L&amp;F, &amp;A&amp;R&amp;D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D23"/>
  <sheetViews>
    <sheetView workbookViewId="0">
      <selection activeCell="G27" sqref="G27"/>
    </sheetView>
  </sheetViews>
  <sheetFormatPr defaultColWidth="8.85546875" defaultRowHeight="12.75" x14ac:dyDescent="0.2"/>
  <sheetData>
    <row r="3" spans="1:2" ht="15.75" x14ac:dyDescent="0.2">
      <c r="A3" s="74" t="s">
        <v>271</v>
      </c>
    </row>
    <row r="4" spans="1:2" ht="15.75" x14ac:dyDescent="0.2">
      <c r="A4" s="74"/>
      <c r="B4" s="70" t="s">
        <v>278</v>
      </c>
    </row>
    <row r="5" spans="1:2" ht="15.75" x14ac:dyDescent="0.2">
      <c r="A5" s="74"/>
      <c r="B5" s="75" t="s">
        <v>272</v>
      </c>
    </row>
    <row r="7" spans="1:2" ht="15.75" x14ac:dyDescent="0.2">
      <c r="A7" s="74"/>
    </row>
    <row r="8" spans="1:2" ht="15.75" x14ac:dyDescent="0.2">
      <c r="A8" s="74" t="s">
        <v>273</v>
      </c>
    </row>
    <row r="9" spans="1:2" ht="15.75" x14ac:dyDescent="0.2">
      <c r="A9" s="74"/>
    </row>
    <row r="10" spans="1:2" ht="15.75" x14ac:dyDescent="0.2">
      <c r="A10" s="74" t="s">
        <v>274</v>
      </c>
    </row>
    <row r="11" spans="1:2" x14ac:dyDescent="0.2">
      <c r="A11" s="75" t="s">
        <v>275</v>
      </c>
    </row>
    <row r="12" spans="1:2" ht="15.75" x14ac:dyDescent="0.2">
      <c r="A12" s="74" t="s">
        <v>276</v>
      </c>
    </row>
    <row r="13" spans="1:2" ht="15.75" x14ac:dyDescent="0.2">
      <c r="A13" s="74"/>
    </row>
    <row r="14" spans="1:2" ht="15.75" x14ac:dyDescent="0.2">
      <c r="A14" s="74" t="s">
        <v>277</v>
      </c>
    </row>
    <row r="18" spans="1:4" x14ac:dyDescent="0.2">
      <c r="A18" s="70" t="s">
        <v>511</v>
      </c>
    </row>
    <row r="19" spans="1:4" x14ac:dyDescent="0.2">
      <c r="A19" s="70" t="s">
        <v>508</v>
      </c>
    </row>
    <row r="20" spans="1:4" x14ac:dyDescent="0.2">
      <c r="A20" s="70" t="s">
        <v>519</v>
      </c>
      <c r="D20" t="s">
        <v>520</v>
      </c>
    </row>
    <row r="21" spans="1:4" x14ac:dyDescent="0.2">
      <c r="A21" s="70" t="s">
        <v>509</v>
      </c>
    </row>
    <row r="22" spans="1:4" x14ac:dyDescent="0.2">
      <c r="A22" s="70" t="s">
        <v>510</v>
      </c>
    </row>
    <row r="23" spans="1:4" x14ac:dyDescent="0.2">
      <c r="A23" s="70" t="s">
        <v>517</v>
      </c>
      <c r="C23" s="70" t="s">
        <v>518</v>
      </c>
    </row>
  </sheetData>
  <hyperlinks>
    <hyperlink ref="B5" r:id="rId1" xr:uid="{00000000-0004-0000-0600-000000000000}"/>
    <hyperlink ref="A11" r:id="rId2" display="mailto:driewassendemanen@gmail.com" xr:uid="{00000000-0004-0000-0600-000001000000}"/>
  </hyperlinks>
  <pageMargins left="0.70866141732283472" right="0.70866141732283472" top="0.74803149606299213" bottom="0.74803149606299213" header="0.31496062992125984" footer="0.31496062992125984"/>
  <pageSetup paperSize="9" orientation="portrait" r:id="rId3"/>
  <headerFooter>
    <oddFooter>&amp;L&amp;F,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86E5-ED0B-4BA6-840C-FA660B5609A0}">
  <sheetPr>
    <pageSetUpPr fitToPage="1"/>
  </sheetPr>
  <dimension ref="A1:R56"/>
  <sheetViews>
    <sheetView topLeftCell="A16" zoomScale="101" zoomScaleNormal="100" workbookViewId="0">
      <selection activeCell="B46" sqref="B46:R46"/>
    </sheetView>
  </sheetViews>
  <sheetFormatPr defaultColWidth="8.85546875" defaultRowHeight="12.75" x14ac:dyDescent="0.2"/>
  <cols>
    <col min="1" max="1" width="2.42578125" customWidth="1"/>
    <col min="2" max="2" width="6.85546875" customWidth="1"/>
    <col min="3" max="3" width="25.85546875" customWidth="1"/>
    <col min="4" max="5" width="10.28515625" customWidth="1"/>
    <col min="6" max="6" width="2.42578125" customWidth="1"/>
    <col min="7" max="8" width="10.28515625" customWidth="1"/>
    <col min="9" max="9" width="2.42578125" customWidth="1"/>
    <col min="10" max="10" width="10.28515625" style="32" customWidth="1"/>
    <col min="11" max="11" width="10.28515625" style="4" customWidth="1"/>
    <col min="12" max="12" width="2.42578125" customWidth="1"/>
    <col min="13" max="13" width="10.28515625" style="32" bestFit="1" customWidth="1"/>
    <col min="14" max="14" width="9.7109375" style="4" customWidth="1"/>
    <col min="15" max="15" width="2.42578125" customWidth="1"/>
    <col min="16" max="16" width="10.140625" style="32" customWidth="1"/>
    <col min="17" max="17" width="10.28515625" style="4" customWidth="1"/>
    <col min="18" max="18" width="2.42578125" customWidth="1"/>
  </cols>
  <sheetData>
    <row r="1" spans="1:17" ht="20.25" x14ac:dyDescent="0.3">
      <c r="A1" s="10" t="s">
        <v>74</v>
      </c>
    </row>
    <row r="3" spans="1:17" x14ac:dyDescent="0.2">
      <c r="D3" s="233">
        <v>2024</v>
      </c>
      <c r="E3" s="234"/>
      <c r="G3" s="233">
        <v>2023</v>
      </c>
      <c r="H3" s="234"/>
      <c r="J3" s="235" t="s">
        <v>713</v>
      </c>
      <c r="K3" s="236"/>
      <c r="M3" s="235" t="s">
        <v>702</v>
      </c>
      <c r="N3" s="236"/>
      <c r="P3" s="235" t="s">
        <v>640</v>
      </c>
      <c r="Q3" s="236"/>
    </row>
    <row r="4" spans="1:17" x14ac:dyDescent="0.2">
      <c r="D4" s="230" t="s">
        <v>73</v>
      </c>
      <c r="E4" s="231"/>
      <c r="G4" s="230" t="s">
        <v>73</v>
      </c>
      <c r="H4" s="231"/>
      <c r="J4" s="232" t="s">
        <v>73</v>
      </c>
      <c r="K4" s="231"/>
      <c r="M4" s="232" t="s">
        <v>73</v>
      </c>
      <c r="N4" s="231"/>
      <c r="P4" s="232" t="s">
        <v>73</v>
      </c>
      <c r="Q4" s="231"/>
    </row>
    <row r="5" spans="1:17" ht="15.75" x14ac:dyDescent="0.25">
      <c r="A5" s="2" t="s">
        <v>0</v>
      </c>
      <c r="D5" s="32"/>
      <c r="E5" s="8"/>
      <c r="G5" s="32"/>
      <c r="H5" s="8"/>
      <c r="K5" s="8"/>
      <c r="M5" s="32">
        <v>7500</v>
      </c>
      <c r="N5" s="8"/>
      <c r="P5" s="44"/>
      <c r="Q5" s="8"/>
    </row>
    <row r="6" spans="1:17" x14ac:dyDescent="0.2">
      <c r="A6" t="s">
        <v>11</v>
      </c>
      <c r="D6" s="32">
        <f>-'kolommenbalans 2024'!H43</f>
        <v>7500</v>
      </c>
      <c r="E6" s="8"/>
      <c r="G6" s="32">
        <v>7500</v>
      </c>
      <c r="H6" s="8"/>
      <c r="J6" s="32">
        <f>-'kolommenbalans 2022'!H35</f>
        <v>7500</v>
      </c>
      <c r="K6" s="8"/>
      <c r="N6" s="8"/>
      <c r="P6" s="32">
        <v>7500</v>
      </c>
      <c r="Q6" s="8"/>
    </row>
    <row r="7" spans="1:17" x14ac:dyDescent="0.2">
      <c r="A7" t="s">
        <v>1</v>
      </c>
      <c r="D7" s="32"/>
      <c r="E7" s="8"/>
      <c r="G7" s="32"/>
      <c r="H7" s="8"/>
      <c r="K7" s="8"/>
      <c r="N7" s="8"/>
      <c r="P7" s="32">
        <v>0</v>
      </c>
      <c r="Q7" s="8"/>
    </row>
    <row r="8" spans="1:17" x14ac:dyDescent="0.2">
      <c r="A8" t="s">
        <v>2</v>
      </c>
      <c r="D8" s="32"/>
      <c r="E8" s="8"/>
      <c r="G8" s="32"/>
      <c r="H8" s="8"/>
      <c r="K8" s="8"/>
      <c r="M8" s="32">
        <v>168.00000000000003</v>
      </c>
      <c r="N8" s="8"/>
      <c r="P8" s="32">
        <v>0</v>
      </c>
      <c r="Q8" s="8"/>
    </row>
    <row r="9" spans="1:17" x14ac:dyDescent="0.2">
      <c r="A9" s="70" t="s">
        <v>432</v>
      </c>
      <c r="D9" s="32">
        <f>+'kolommenbalans 2024'!D39</f>
        <v>330.95000000000005</v>
      </c>
      <c r="E9" s="8"/>
      <c r="G9" s="32" t="e">
        <f>+#REF!</f>
        <v>#REF!</v>
      </c>
      <c r="H9" s="8"/>
      <c r="J9" s="32">
        <v>221.11</v>
      </c>
      <c r="K9" s="8"/>
      <c r="M9" s="32">
        <v>0</v>
      </c>
      <c r="N9" s="8"/>
      <c r="P9" s="32">
        <v>168.92999999999998</v>
      </c>
      <c r="Q9" s="8"/>
    </row>
    <row r="10" spans="1:17" ht="13.5" thickBot="1" x14ac:dyDescent="0.25">
      <c r="A10" s="70" t="s">
        <v>431</v>
      </c>
      <c r="D10" s="103">
        <f>-'kolommenbalans 2024'!I43</f>
        <v>2.4</v>
      </c>
      <c r="E10" s="8"/>
      <c r="G10" s="103">
        <f>1688.38-1675.01</f>
        <v>13.370000000000118</v>
      </c>
      <c r="H10" s="8"/>
      <c r="J10" s="103"/>
      <c r="K10" s="8"/>
      <c r="M10" s="103">
        <v>0</v>
      </c>
      <c r="N10" s="8"/>
      <c r="P10" s="103">
        <v>0</v>
      </c>
      <c r="Q10" s="8"/>
    </row>
    <row r="11" spans="1:17" ht="19.5" customHeight="1" x14ac:dyDescent="0.2">
      <c r="A11" s="3" t="s">
        <v>3</v>
      </c>
      <c r="D11" s="32"/>
      <c r="E11" s="8">
        <f>+D9+D6+D10</f>
        <v>7833.3499999999995</v>
      </c>
      <c r="G11" s="32"/>
      <c r="H11" s="8" t="e">
        <f>+G9+G6+G10</f>
        <v>#REF!</v>
      </c>
      <c r="J11" s="86"/>
      <c r="K11" s="8">
        <f>+J9+J6</f>
        <v>7721.11</v>
      </c>
      <c r="M11" s="86"/>
      <c r="N11" s="8">
        <v>7668</v>
      </c>
      <c r="P11" s="86"/>
      <c r="Q11" s="8">
        <v>7668.93</v>
      </c>
    </row>
    <row r="12" spans="1:17" x14ac:dyDescent="0.2">
      <c r="D12" s="32"/>
      <c r="E12" s="8"/>
      <c r="G12" s="32"/>
      <c r="H12" s="8"/>
      <c r="K12" s="8"/>
      <c r="N12" s="8"/>
      <c r="P12" s="44"/>
      <c r="Q12" s="8"/>
    </row>
    <row r="13" spans="1:17" x14ac:dyDescent="0.2">
      <c r="A13" t="s">
        <v>4</v>
      </c>
      <c r="D13" s="32">
        <v>0</v>
      </c>
      <c r="E13" s="8"/>
      <c r="G13" s="32">
        <v>0</v>
      </c>
      <c r="H13" s="8"/>
      <c r="J13" s="44">
        <v>0</v>
      </c>
      <c r="K13" s="8"/>
      <c r="M13" s="44">
        <v>0</v>
      </c>
      <c r="N13" s="8"/>
      <c r="P13" s="44">
        <v>0</v>
      </c>
      <c r="Q13" s="8"/>
    </row>
    <row r="14" spans="1:17" ht="13.5" thickBot="1" x14ac:dyDescent="0.25">
      <c r="A14" t="s">
        <v>5</v>
      </c>
      <c r="D14" s="103">
        <v>0</v>
      </c>
      <c r="E14" s="8">
        <v>0</v>
      </c>
      <c r="G14" s="103">
        <v>0</v>
      </c>
      <c r="H14" s="8">
        <v>0</v>
      </c>
      <c r="J14" s="85">
        <v>0</v>
      </c>
      <c r="K14" s="8">
        <v>0</v>
      </c>
      <c r="M14" s="85">
        <v>0</v>
      </c>
      <c r="N14" s="8">
        <v>0</v>
      </c>
      <c r="P14" s="85">
        <v>0</v>
      </c>
      <c r="Q14" s="8"/>
    </row>
    <row r="15" spans="1:17" ht="19.5" customHeight="1" x14ac:dyDescent="0.2">
      <c r="A15" s="3" t="s">
        <v>6</v>
      </c>
      <c r="D15" s="32"/>
      <c r="E15" s="8">
        <v>0</v>
      </c>
      <c r="G15" s="32"/>
      <c r="H15" s="8">
        <v>0</v>
      </c>
      <c r="K15" s="8">
        <v>0</v>
      </c>
      <c r="N15" s="8">
        <v>0</v>
      </c>
      <c r="P15" s="86"/>
      <c r="Q15" s="8">
        <v>0</v>
      </c>
    </row>
    <row r="16" spans="1:17" ht="13.5" thickBot="1" x14ac:dyDescent="0.25">
      <c r="A16" t="s">
        <v>14</v>
      </c>
      <c r="D16" s="32"/>
      <c r="E16" s="19">
        <v>0</v>
      </c>
      <c r="G16" s="32"/>
      <c r="H16" s="19">
        <v>0</v>
      </c>
      <c r="K16" s="19">
        <v>0</v>
      </c>
      <c r="N16" s="19">
        <v>0</v>
      </c>
      <c r="P16" s="44"/>
      <c r="Q16" s="19">
        <f>+Q15/Q11</f>
        <v>0</v>
      </c>
    </row>
    <row r="17" spans="1:17" ht="19.5" customHeight="1" x14ac:dyDescent="0.2">
      <c r="A17" s="3" t="s">
        <v>8</v>
      </c>
      <c r="D17" s="32"/>
      <c r="E17" s="214">
        <f>+E11</f>
        <v>7833.3499999999995</v>
      </c>
      <c r="G17" s="32"/>
      <c r="H17" s="214" t="e">
        <f>+H11</f>
        <v>#REF!</v>
      </c>
      <c r="K17" s="214">
        <f>+K11</f>
        <v>7721.11</v>
      </c>
      <c r="N17" s="214">
        <v>7668</v>
      </c>
      <c r="P17" s="86"/>
      <c r="Q17" s="8">
        <v>7668.93</v>
      </c>
    </row>
    <row r="18" spans="1:17" ht="13.5" thickBot="1" x14ac:dyDescent="0.25">
      <c r="A18" t="s">
        <v>7</v>
      </c>
      <c r="D18" s="32"/>
      <c r="E18" s="16"/>
      <c r="G18" s="32"/>
      <c r="H18" s="16"/>
      <c r="K18" s="16"/>
      <c r="N18" s="16"/>
      <c r="P18" s="44"/>
      <c r="Q18" s="16">
        <v>0</v>
      </c>
    </row>
    <row r="19" spans="1:17" ht="19.5" customHeight="1" x14ac:dyDescent="0.2">
      <c r="A19" s="3" t="s">
        <v>9</v>
      </c>
      <c r="D19" s="32"/>
      <c r="E19" s="8">
        <f>+E17</f>
        <v>7833.3499999999995</v>
      </c>
      <c r="G19" s="32"/>
      <c r="H19" s="8" t="e">
        <f>+H17</f>
        <v>#REF!</v>
      </c>
      <c r="K19" s="8">
        <f>+K17</f>
        <v>7721.11</v>
      </c>
      <c r="N19" s="8">
        <f>+N17</f>
        <v>7668</v>
      </c>
      <c r="P19" s="86"/>
      <c r="Q19" s="8">
        <v>7668.93</v>
      </c>
    </row>
    <row r="20" spans="1:17" x14ac:dyDescent="0.2">
      <c r="D20" s="32"/>
      <c r="E20" s="8"/>
      <c r="G20" s="32"/>
      <c r="H20" s="8"/>
      <c r="K20" s="8"/>
      <c r="N20" s="8"/>
      <c r="P20" s="44"/>
      <c r="Q20" s="8"/>
    </row>
    <row r="21" spans="1:17" ht="15.75" x14ac:dyDescent="0.25">
      <c r="A21" s="2" t="s">
        <v>10</v>
      </c>
      <c r="D21" s="32"/>
      <c r="E21" s="8"/>
      <c r="G21" s="32"/>
      <c r="H21" s="8"/>
      <c r="K21" s="8"/>
      <c r="M21" s="32">
        <v>0</v>
      </c>
      <c r="N21" s="8"/>
      <c r="P21" s="44"/>
      <c r="Q21" s="8"/>
    </row>
    <row r="22" spans="1:17" x14ac:dyDescent="0.2">
      <c r="A22" s="70" t="s">
        <v>578</v>
      </c>
      <c r="D22" s="32">
        <f>-'kolommenbalans 2024'!F46+'kolommenbalans 2024'!L43</f>
        <v>5400.4</v>
      </c>
      <c r="E22" s="8"/>
      <c r="G22" s="32">
        <v>4100</v>
      </c>
      <c r="H22" s="8"/>
      <c r="J22" s="32">
        <f>6000</f>
        <v>6000</v>
      </c>
      <c r="K22" s="8"/>
      <c r="M22" s="32">
        <v>0</v>
      </c>
      <c r="N22" s="8"/>
      <c r="P22" s="32">
        <v>17500</v>
      </c>
      <c r="Q22" s="8"/>
    </row>
    <row r="23" spans="1:17" x14ac:dyDescent="0.2">
      <c r="A23" s="70" t="s">
        <v>580</v>
      </c>
      <c r="D23" s="32"/>
      <c r="E23" s="8"/>
      <c r="G23" s="32"/>
      <c r="H23" s="8"/>
      <c r="J23" s="44">
        <f>+'kolommenbalans 2022'!D68+'kolommenbalans 2022'!D69</f>
        <v>4500</v>
      </c>
      <c r="K23" s="8"/>
      <c r="M23" s="44">
        <v>0</v>
      </c>
      <c r="N23" s="8"/>
      <c r="P23" s="44">
        <v>8500</v>
      </c>
      <c r="Q23" s="8"/>
    </row>
    <row r="24" spans="1:17" x14ac:dyDescent="0.2">
      <c r="A24" s="70" t="s">
        <v>579</v>
      </c>
      <c r="D24" s="32"/>
      <c r="E24" s="8"/>
      <c r="G24" s="32"/>
      <c r="H24" s="8"/>
      <c r="K24" s="8"/>
      <c r="M24" s="72">
        <v>0</v>
      </c>
      <c r="N24" s="8"/>
      <c r="P24" s="72"/>
      <c r="Q24" s="8"/>
    </row>
    <row r="25" spans="1:17" ht="12.75" hidden="1" customHeight="1" x14ac:dyDescent="0.2">
      <c r="A25" s="99" t="s">
        <v>421</v>
      </c>
      <c r="D25" s="32">
        <v>0</v>
      </c>
      <c r="E25" s="8"/>
      <c r="G25" s="32">
        <v>0</v>
      </c>
      <c r="H25" s="8"/>
      <c r="J25" s="44">
        <v>0</v>
      </c>
      <c r="K25" s="8"/>
      <c r="N25" s="8"/>
      <c r="P25" s="44"/>
      <c r="Q25" s="8"/>
    </row>
    <row r="26" spans="1:17" ht="13.5" thickBot="1" x14ac:dyDescent="0.25">
      <c r="A26" t="s">
        <v>5</v>
      </c>
      <c r="D26" s="103">
        <f>+'kolommenbalans 2024'!K36</f>
        <v>330.95000000000005</v>
      </c>
      <c r="E26" s="8"/>
      <c r="G26" s="103">
        <v>372.9</v>
      </c>
      <c r="H26" s="8"/>
      <c r="J26" s="85">
        <v>221.11</v>
      </c>
      <c r="K26" s="8"/>
      <c r="M26" s="44">
        <v>-168.00000000000003</v>
      </c>
      <c r="N26" s="8">
        <v>-168.00000000000003</v>
      </c>
      <c r="P26" s="85">
        <v>168.92999999999998</v>
      </c>
      <c r="Q26" s="8"/>
    </row>
    <row r="27" spans="1:17" ht="19.5" customHeight="1" x14ac:dyDescent="0.2">
      <c r="A27" s="3" t="s">
        <v>13</v>
      </c>
      <c r="D27" s="32"/>
      <c r="E27" s="8">
        <f>-SUM(D22:D26)</f>
        <v>-5731.3499999999995</v>
      </c>
      <c r="G27" s="32"/>
      <c r="H27" s="8">
        <f>-SUM(G22:G26)</f>
        <v>-4472.8999999999996</v>
      </c>
      <c r="J27" s="86"/>
      <c r="K27" s="8">
        <v>-10721</v>
      </c>
      <c r="M27" s="86"/>
      <c r="N27" s="8"/>
      <c r="P27" s="86"/>
      <c r="Q27" s="8">
        <v>26168.93</v>
      </c>
    </row>
    <row r="28" spans="1:17" x14ac:dyDescent="0.2">
      <c r="D28" s="32"/>
      <c r="E28" s="8"/>
      <c r="G28" s="32"/>
      <c r="H28" s="8"/>
      <c r="J28" s="44"/>
      <c r="K28" s="8"/>
      <c r="M28" s="44"/>
      <c r="N28" s="8"/>
      <c r="P28" s="44"/>
      <c r="Q28" s="8"/>
    </row>
    <row r="29" spans="1:17" ht="19.5" customHeight="1" x14ac:dyDescent="0.2">
      <c r="A29" s="1" t="s">
        <v>15</v>
      </c>
      <c r="D29" s="32"/>
      <c r="E29" s="8">
        <f>+E27+E19</f>
        <v>2102</v>
      </c>
      <c r="G29" s="32"/>
      <c r="H29" s="8" t="e">
        <f>+H27+H19</f>
        <v>#REF!</v>
      </c>
      <c r="J29" s="86"/>
      <c r="K29" s="8">
        <v>-3000</v>
      </c>
      <c r="M29" s="86"/>
      <c r="N29" s="8">
        <v>7500</v>
      </c>
      <c r="P29" s="86"/>
      <c r="Q29" s="8">
        <v>-18500</v>
      </c>
    </row>
    <row r="30" spans="1:17" x14ac:dyDescent="0.2">
      <c r="D30" s="32"/>
      <c r="E30" s="4"/>
      <c r="G30" s="32"/>
      <c r="H30" s="4"/>
      <c r="K30" s="219"/>
      <c r="P30" s="44"/>
      <c r="Q30" s="7"/>
    </row>
    <row r="31" spans="1:17" x14ac:dyDescent="0.2">
      <c r="A31" s="20" t="s">
        <v>16</v>
      </c>
      <c r="D31" s="32"/>
      <c r="E31" s="4"/>
      <c r="G31" s="32"/>
      <c r="H31" s="4"/>
      <c r="K31" s="219"/>
      <c r="M31" s="32">
        <v>0</v>
      </c>
      <c r="P31" s="44"/>
      <c r="Q31" s="7"/>
    </row>
    <row r="32" spans="1:17" x14ac:dyDescent="0.2">
      <c r="A32" t="s">
        <v>17</v>
      </c>
      <c r="D32" s="32">
        <v>0</v>
      </c>
      <c r="E32" s="8"/>
      <c r="G32" s="32">
        <v>0</v>
      </c>
      <c r="H32" s="8"/>
      <c r="J32" s="44">
        <v>0</v>
      </c>
      <c r="K32" s="8"/>
      <c r="N32" s="8"/>
      <c r="P32" s="44">
        <v>0</v>
      </c>
      <c r="Q32" s="8"/>
    </row>
    <row r="33" spans="1:18" ht="13.5" thickBot="1" x14ac:dyDescent="0.25">
      <c r="A33" t="s">
        <v>28</v>
      </c>
      <c r="D33" s="103">
        <f>+E29</f>
        <v>2102</v>
      </c>
      <c r="E33" s="8"/>
      <c r="G33" s="103" t="e">
        <f>+H29</f>
        <v>#REF!</v>
      </c>
      <c r="H33" s="8"/>
      <c r="J33" s="85">
        <f>+K29</f>
        <v>-3000</v>
      </c>
      <c r="K33" s="8"/>
      <c r="M33" s="85">
        <v>-4698.17</v>
      </c>
      <c r="N33" s="8"/>
      <c r="P33" s="85">
        <v>-18500</v>
      </c>
      <c r="Q33" s="8"/>
    </row>
    <row r="34" spans="1:18" ht="19.5" customHeight="1" x14ac:dyDescent="0.2">
      <c r="A34" s="3"/>
      <c r="D34" s="32"/>
      <c r="E34" s="8">
        <f>+D33</f>
        <v>2102</v>
      </c>
      <c r="G34" s="32"/>
      <c r="H34" s="8" t="e">
        <f>+G33</f>
        <v>#REF!</v>
      </c>
      <c r="J34" s="86"/>
      <c r="K34" s="8">
        <v>-3000</v>
      </c>
      <c r="M34" s="86"/>
      <c r="N34" s="8">
        <v>-4698.17</v>
      </c>
      <c r="P34" s="86"/>
      <c r="Q34" s="8">
        <v>-18500</v>
      </c>
    </row>
    <row r="35" spans="1:18" ht="19.5" customHeight="1" x14ac:dyDescent="0.2">
      <c r="A35" s="3"/>
      <c r="C35" s="47"/>
      <c r="D35" s="47"/>
      <c r="E35" s="8"/>
      <c r="F35" s="47"/>
      <c r="G35" s="47"/>
      <c r="H35" s="8"/>
      <c r="I35" s="47"/>
      <c r="J35" s="86"/>
      <c r="K35" s="8"/>
      <c r="L35" s="47"/>
      <c r="M35" s="86"/>
      <c r="N35" s="8"/>
      <c r="O35" s="47"/>
      <c r="P35" s="86"/>
      <c r="Q35" s="8"/>
      <c r="R35" s="47"/>
    </row>
    <row r="36" spans="1:18" ht="19.5" customHeight="1" x14ac:dyDescent="0.2">
      <c r="A36" s="3"/>
      <c r="C36" s="112"/>
      <c r="D36" s="112"/>
      <c r="E36" s="112"/>
      <c r="F36" s="112"/>
      <c r="G36" s="112"/>
      <c r="H36" s="112"/>
      <c r="I36" s="112"/>
      <c r="L36" s="112"/>
      <c r="O36" s="112"/>
      <c r="R36" s="112"/>
    </row>
    <row r="37" spans="1:18" x14ac:dyDescent="0.2">
      <c r="A37" s="20" t="s">
        <v>43</v>
      </c>
    </row>
    <row r="38" spans="1:18" x14ac:dyDescent="0.2">
      <c r="A38" t="s">
        <v>47</v>
      </c>
    </row>
    <row r="39" spans="1:18" x14ac:dyDescent="0.2">
      <c r="A39" s="76"/>
      <c r="B39" s="147" t="s">
        <v>785</v>
      </c>
      <c r="C39" s="76"/>
      <c r="D39" s="76"/>
      <c r="E39" s="76"/>
      <c r="F39" s="76"/>
      <c r="G39" s="76"/>
      <c r="H39" s="76"/>
      <c r="I39" s="76"/>
      <c r="J39" s="87"/>
      <c r="K39" s="88"/>
      <c r="L39" s="76"/>
      <c r="M39" s="87"/>
      <c r="N39" s="88"/>
      <c r="O39" s="76"/>
      <c r="P39" s="87"/>
      <c r="Q39" s="88"/>
      <c r="R39" s="76"/>
    </row>
    <row r="40" spans="1:18" x14ac:dyDescent="0.2">
      <c r="A40" s="76"/>
      <c r="C40" s="76"/>
      <c r="D40" s="76"/>
      <c r="E40" s="76"/>
      <c r="F40" s="76"/>
      <c r="G40" s="76"/>
      <c r="H40" s="76"/>
      <c r="I40" s="76"/>
      <c r="J40" s="87"/>
      <c r="K40" s="88"/>
      <c r="L40" s="76"/>
      <c r="M40" s="87"/>
      <c r="N40" s="88"/>
      <c r="O40" s="76"/>
      <c r="P40" s="87"/>
      <c r="Q40" s="88"/>
      <c r="R40" s="76"/>
    </row>
    <row r="41" spans="1:18" x14ac:dyDescent="0.2">
      <c r="A41" s="70" t="s">
        <v>414</v>
      </c>
      <c r="B41" s="76"/>
      <c r="C41" s="76"/>
      <c r="D41" s="76"/>
      <c r="E41" s="76"/>
      <c r="F41" s="76"/>
      <c r="G41" s="76"/>
      <c r="H41" s="76"/>
      <c r="I41" s="76"/>
      <c r="J41" s="87"/>
      <c r="K41" s="88"/>
      <c r="L41" s="76"/>
      <c r="M41" s="87"/>
      <c r="N41" s="88"/>
      <c r="O41" s="76"/>
      <c r="P41" s="87"/>
      <c r="Q41" s="88"/>
      <c r="R41" s="76"/>
    </row>
    <row r="42" spans="1:18" x14ac:dyDescent="0.2">
      <c r="B42" s="70" t="s">
        <v>107</v>
      </c>
      <c r="C42" s="76"/>
      <c r="D42" s="76"/>
      <c r="E42" s="76"/>
      <c r="F42" s="76"/>
      <c r="G42" s="76"/>
      <c r="H42" s="76"/>
      <c r="I42" s="76"/>
      <c r="J42" s="87"/>
      <c r="K42" s="88"/>
      <c r="L42" s="76"/>
      <c r="M42" s="87"/>
      <c r="N42" s="88"/>
      <c r="O42" s="76"/>
      <c r="P42" s="87"/>
      <c r="Q42" s="72"/>
      <c r="R42" s="76"/>
    </row>
    <row r="43" spans="1:18" x14ac:dyDescent="0.2">
      <c r="A43" s="76"/>
      <c r="B43" s="101" t="s">
        <v>786</v>
      </c>
      <c r="C43" s="76"/>
      <c r="D43" s="76"/>
      <c r="E43" s="227">
        <f>+'kolommenbalans 2024'!D39</f>
        <v>330.95000000000005</v>
      </c>
      <c r="F43" s="76"/>
      <c r="G43" s="76"/>
      <c r="I43" s="76"/>
      <c r="J43" s="87"/>
      <c r="L43" s="76"/>
      <c r="N43" s="88"/>
      <c r="O43" s="76"/>
      <c r="P43" s="87"/>
      <c r="R43" s="76"/>
    </row>
    <row r="44" spans="1:18" x14ac:dyDescent="0.2">
      <c r="A44" s="76"/>
      <c r="B44" s="70"/>
      <c r="C44" s="76"/>
      <c r="D44" s="76"/>
      <c r="F44" s="76"/>
      <c r="G44" s="76"/>
      <c r="H44" s="76"/>
      <c r="I44" s="76"/>
      <c r="J44" s="87"/>
      <c r="K44" s="88"/>
      <c r="L44" s="76"/>
      <c r="M44" s="87"/>
      <c r="N44" s="88"/>
      <c r="O44" s="76"/>
      <c r="P44" s="87"/>
      <c r="Q44" s="88"/>
      <c r="R44" s="76"/>
    </row>
    <row r="45" spans="1:18" x14ac:dyDescent="0.2">
      <c r="A45" s="70" t="s">
        <v>46</v>
      </c>
      <c r="B45" s="76"/>
      <c r="C45" s="76"/>
      <c r="D45" s="76"/>
      <c r="E45" s="76"/>
      <c r="F45" s="76"/>
      <c r="G45" s="76"/>
      <c r="H45" s="76"/>
      <c r="I45" s="76"/>
      <c r="J45" s="87"/>
      <c r="K45" s="88"/>
      <c r="L45" s="76"/>
      <c r="M45" s="87"/>
      <c r="N45" s="88"/>
      <c r="O45" s="76"/>
      <c r="P45" s="87"/>
      <c r="Q45" s="88"/>
      <c r="R45" s="76"/>
    </row>
    <row r="46" spans="1:18" ht="26.25" customHeight="1" x14ac:dyDescent="0.2">
      <c r="B46" s="237" t="s">
        <v>787</v>
      </c>
      <c r="C46" s="238"/>
      <c r="D46" s="238"/>
      <c r="E46" s="238"/>
      <c r="F46" s="238"/>
      <c r="G46" s="238"/>
      <c r="H46" s="238"/>
      <c r="I46" s="238"/>
      <c r="J46" s="238"/>
      <c r="K46" s="238"/>
      <c r="L46" s="238"/>
      <c r="M46" s="238"/>
      <c r="N46" s="238"/>
      <c r="O46" s="238"/>
      <c r="P46" s="238"/>
      <c r="Q46" s="238"/>
      <c r="R46" s="238"/>
    </row>
    <row r="48" spans="1:18" x14ac:dyDescent="0.2">
      <c r="A48" s="147" t="s">
        <v>746</v>
      </c>
    </row>
    <row r="49" spans="1:15" x14ac:dyDescent="0.2">
      <c r="A49" s="147"/>
      <c r="C49" s="148" t="s">
        <v>769</v>
      </c>
      <c r="D49" s="29"/>
      <c r="E49" s="4">
        <f>'kolommenbalans 2023'!B5</f>
        <v>8467.7099999999973</v>
      </c>
      <c r="F49" s="29"/>
      <c r="G49" s="29"/>
      <c r="H49" s="4">
        <f>'kolommenbalans 2023'!E5</f>
        <v>638</v>
      </c>
      <c r="I49" s="29"/>
    </row>
    <row r="50" spans="1:15" x14ac:dyDescent="0.2">
      <c r="C50" s="148" t="s">
        <v>770</v>
      </c>
      <c r="D50" s="148"/>
      <c r="E50" s="164">
        <v>3400</v>
      </c>
      <c r="F50" s="148"/>
      <c r="G50" s="148"/>
      <c r="H50" s="164">
        <v>3400</v>
      </c>
      <c r="I50" s="148"/>
      <c r="J50" s="162"/>
      <c r="L50" s="148"/>
      <c r="N50" s="206"/>
      <c r="O50" s="148"/>
    </row>
    <row r="51" spans="1:15" x14ac:dyDescent="0.2">
      <c r="C51" s="148" t="s">
        <v>771</v>
      </c>
      <c r="D51" s="148"/>
      <c r="E51" s="4">
        <f>+E50+E49</f>
        <v>11867.709999999997</v>
      </c>
      <c r="F51" s="148"/>
      <c r="G51" s="148"/>
      <c r="H51" s="4">
        <f>+H50+H49</f>
        <v>4038</v>
      </c>
      <c r="I51" s="148"/>
      <c r="J51" s="146"/>
      <c r="L51" s="148"/>
      <c r="N51" s="208"/>
      <c r="O51" s="147"/>
    </row>
    <row r="52" spans="1:15" x14ac:dyDescent="0.2">
      <c r="E52" s="4"/>
      <c r="H52" s="4"/>
    </row>
    <row r="53" spans="1:15" x14ac:dyDescent="0.2">
      <c r="A53" s="147" t="s">
        <v>772</v>
      </c>
      <c r="E53" s="4"/>
      <c r="H53" s="4"/>
    </row>
    <row r="54" spans="1:15" x14ac:dyDescent="0.2">
      <c r="C54" s="148" t="s">
        <v>750</v>
      </c>
      <c r="D54" s="148"/>
      <c r="E54" s="4"/>
      <c r="F54" s="148"/>
      <c r="G54" s="148"/>
      <c r="H54" s="4"/>
      <c r="I54" s="148"/>
    </row>
    <row r="55" spans="1:15" x14ac:dyDescent="0.2">
      <c r="C55" s="148" t="s">
        <v>751</v>
      </c>
      <c r="D55" s="148"/>
      <c r="E55" s="4">
        <v>3600</v>
      </c>
      <c r="F55" s="148"/>
      <c r="G55" s="148"/>
      <c r="H55" s="4">
        <v>3600</v>
      </c>
      <c r="I55" s="148"/>
    </row>
    <row r="56" spans="1:15" x14ac:dyDescent="0.2">
      <c r="E56" s="4"/>
      <c r="H56" s="4"/>
    </row>
  </sheetData>
  <mergeCells count="11">
    <mergeCell ref="D3:E3"/>
    <mergeCell ref="G3:H3"/>
    <mergeCell ref="J3:K3"/>
    <mergeCell ref="M3:N3"/>
    <mergeCell ref="P3:Q3"/>
    <mergeCell ref="B46:R46"/>
    <mergeCell ref="D4:E4"/>
    <mergeCell ref="G4:H4"/>
    <mergeCell ref="J4:K4"/>
    <mergeCell ref="M4:N4"/>
    <mergeCell ref="P4:Q4"/>
  </mergeCells>
  <pageMargins left="0.74803149606299213" right="0.74803149606299213" top="0.98425196850393704" bottom="0.78740157480314965" header="0.51181102362204722" footer="0.51181102362204722"/>
  <pageSetup paperSize="9" scale="59" orientation="portrait" r:id="rId1"/>
  <headerFooter alignWithMargins="0">
    <oddFooter>&amp;L&amp;F, &amp;A&amp;R&amp;D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30"/>
  <sheetViews>
    <sheetView topLeftCell="A17" zoomScaleNormal="100" workbookViewId="0">
      <selection activeCell="E36" sqref="E36"/>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s>
  <sheetData>
    <row r="1" spans="1:18" ht="20.25" x14ac:dyDescent="0.3">
      <c r="A1" s="10" t="s">
        <v>69</v>
      </c>
    </row>
    <row r="3" spans="1:18" s="109" customFormat="1" x14ac:dyDescent="0.2">
      <c r="D3" s="247">
        <v>43465</v>
      </c>
      <c r="E3" s="247"/>
      <c r="G3" s="247">
        <v>43100</v>
      </c>
      <c r="H3" s="247"/>
      <c r="J3" s="247">
        <v>42735</v>
      </c>
      <c r="K3" s="247"/>
      <c r="M3" s="247">
        <v>42369</v>
      </c>
      <c r="N3" s="247"/>
      <c r="P3" s="247">
        <v>42004</v>
      </c>
      <c r="Q3" s="247"/>
    </row>
    <row r="4" spans="1:18" x14ac:dyDescent="0.2">
      <c r="D4" s="248" t="s">
        <v>73</v>
      </c>
      <c r="E4" s="248"/>
      <c r="G4" s="248" t="s">
        <v>73</v>
      </c>
      <c r="H4" s="248"/>
      <c r="J4" s="248" t="s">
        <v>73</v>
      </c>
      <c r="K4" s="248"/>
      <c r="M4" s="248" t="s">
        <v>73</v>
      </c>
      <c r="N4" s="248"/>
      <c r="P4" s="248" t="s">
        <v>73</v>
      </c>
      <c r="Q4" s="248"/>
    </row>
    <row r="5" spans="1:18" ht="15.75" x14ac:dyDescent="0.25">
      <c r="A5" s="2" t="s">
        <v>21</v>
      </c>
      <c r="E5" s="8"/>
      <c r="H5" s="8"/>
      <c r="K5" s="8"/>
      <c r="N5" s="8"/>
      <c r="Q5" s="8"/>
    </row>
    <row r="6" spans="1:18" s="12" customFormat="1" ht="19.5" customHeight="1" x14ac:dyDescent="0.2">
      <c r="A6" s="11" t="s">
        <v>23</v>
      </c>
      <c r="D6" s="68"/>
      <c r="E6" s="130"/>
      <c r="G6" s="68"/>
      <c r="H6" s="130"/>
      <c r="J6" s="68"/>
      <c r="K6" s="130"/>
      <c r="M6" s="68"/>
      <c r="N6" s="130"/>
      <c r="P6" s="68"/>
      <c r="Q6" s="130"/>
    </row>
    <row r="7" spans="1:18" x14ac:dyDescent="0.2">
      <c r="A7" t="s">
        <v>25</v>
      </c>
      <c r="E7" s="8">
        <v>0</v>
      </c>
      <c r="H7" s="8">
        <v>0</v>
      </c>
      <c r="K7" s="8">
        <v>0</v>
      </c>
      <c r="N7" s="8">
        <v>0</v>
      </c>
      <c r="Q7" s="8">
        <v>0</v>
      </c>
    </row>
    <row r="8" spans="1:18" x14ac:dyDescent="0.2">
      <c r="E8" s="8"/>
      <c r="H8" s="8"/>
      <c r="K8" s="8"/>
      <c r="N8" s="8"/>
      <c r="Q8" s="8"/>
    </row>
    <row r="9" spans="1:18" s="12" customFormat="1" ht="19.5" customHeight="1" x14ac:dyDescent="0.2">
      <c r="A9" s="11" t="s">
        <v>24</v>
      </c>
      <c r="D9" s="68"/>
      <c r="E9" s="130"/>
      <c r="G9" s="68"/>
      <c r="H9" s="130"/>
      <c r="J9" s="68"/>
      <c r="K9" s="130"/>
      <c r="M9" s="68"/>
      <c r="N9" s="130"/>
      <c r="P9" s="68"/>
      <c r="Q9" s="130"/>
    </row>
    <row r="10" spans="1:18" x14ac:dyDescent="0.2">
      <c r="A10" t="s">
        <v>26</v>
      </c>
      <c r="D10" s="4">
        <v>200</v>
      </c>
      <c r="E10" s="15"/>
      <c r="G10" s="4">
        <v>1894.85</v>
      </c>
      <c r="H10" s="15"/>
      <c r="J10" s="4">
        <v>167.54</v>
      </c>
      <c r="K10" s="15"/>
      <c r="M10" s="4">
        <v>163.28</v>
      </c>
      <c r="N10" s="15"/>
      <c r="P10" s="4">
        <v>112.35</v>
      </c>
      <c r="Q10" s="15"/>
    </row>
    <row r="11" spans="1:18" ht="13.5" thickBot="1" x14ac:dyDescent="0.25">
      <c r="A11" s="70" t="s">
        <v>427</v>
      </c>
      <c r="D11" s="9">
        <v>22357</v>
      </c>
      <c r="E11" s="8"/>
      <c r="G11" s="9">
        <v>21340.339999999997</v>
      </c>
      <c r="H11" s="8"/>
      <c r="J11" s="9">
        <v>19843.679999999993</v>
      </c>
      <c r="K11" s="8"/>
      <c r="M11" s="4">
        <v>21437.119999999995</v>
      </c>
      <c r="N11" s="8"/>
      <c r="P11" s="9">
        <v>18681.909999999996</v>
      </c>
      <c r="Q11" s="8"/>
    </row>
    <row r="12" spans="1:18" ht="13.5" thickBot="1" x14ac:dyDescent="0.25">
      <c r="E12" s="16">
        <f>+D11+D10</f>
        <v>22557</v>
      </c>
      <c r="H12" s="16">
        <v>23235.189999999995</v>
      </c>
      <c r="K12" s="16">
        <v>20011.219999999994</v>
      </c>
      <c r="N12" s="16">
        <v>21600.399999999994</v>
      </c>
      <c r="Q12" s="16">
        <v>18794.259999999995</v>
      </c>
    </row>
    <row r="13" spans="1:18" ht="19.5" customHeight="1" x14ac:dyDescent="0.2">
      <c r="A13" s="3"/>
      <c r="C13" s="29" t="s">
        <v>55</v>
      </c>
      <c r="D13" s="30"/>
      <c r="E13" s="18">
        <f>+E12+E7</f>
        <v>22557</v>
      </c>
      <c r="F13" s="29"/>
      <c r="G13" s="30"/>
      <c r="H13" s="18">
        <v>23235.189999999995</v>
      </c>
      <c r="I13" s="29"/>
      <c r="J13" s="30"/>
      <c r="K13" s="18">
        <v>20011.219999999994</v>
      </c>
      <c r="L13" s="29"/>
      <c r="M13" s="30"/>
      <c r="N13" s="18">
        <v>21600.399999999994</v>
      </c>
      <c r="O13" s="29"/>
      <c r="P13" s="30"/>
      <c r="Q13" s="18">
        <v>18794.259999999995</v>
      </c>
      <c r="R13" s="29"/>
    </row>
    <row r="14" spans="1:18" x14ac:dyDescent="0.2">
      <c r="E14" s="8"/>
      <c r="H14" s="8"/>
      <c r="K14" s="8"/>
      <c r="N14" s="8"/>
      <c r="Q14" s="8"/>
    </row>
    <row r="15" spans="1:18" ht="15.75" x14ac:dyDescent="0.25">
      <c r="A15" s="2" t="s">
        <v>22</v>
      </c>
      <c r="E15" s="8"/>
      <c r="H15" s="8"/>
      <c r="K15" s="8"/>
      <c r="N15" s="8"/>
      <c r="Q15" s="8"/>
    </row>
    <row r="16" spans="1:18" ht="19.5" customHeight="1" x14ac:dyDescent="0.2">
      <c r="A16" s="11" t="s">
        <v>29</v>
      </c>
      <c r="E16" s="8"/>
      <c r="H16" s="8"/>
      <c r="K16" s="8"/>
      <c r="N16" s="8"/>
      <c r="Q16" s="8"/>
    </row>
    <row r="17" spans="1:18" x14ac:dyDescent="0.2">
      <c r="A17" t="s">
        <v>28</v>
      </c>
      <c r="D17" s="5">
        <v>4677</v>
      </c>
      <c r="E17" s="8"/>
      <c r="G17" s="5">
        <v>12645.189999999995</v>
      </c>
      <c r="H17" s="8"/>
      <c r="J17" s="5">
        <v>4230.5700000000015</v>
      </c>
      <c r="K17" s="8"/>
      <c r="M17" s="5">
        <v>14848.090000000002</v>
      </c>
      <c r="N17" s="8"/>
      <c r="P17" s="5">
        <v>12794.26</v>
      </c>
      <c r="Q17" s="8"/>
    </row>
    <row r="18" spans="1:18" x14ac:dyDescent="0.2">
      <c r="A18" s="70" t="s">
        <v>428</v>
      </c>
      <c r="D18" s="5">
        <v>17880</v>
      </c>
      <c r="E18" s="8"/>
      <c r="G18" s="5">
        <v>10590</v>
      </c>
      <c r="H18" s="8"/>
      <c r="J18" s="5">
        <v>15780.65</v>
      </c>
      <c r="K18" s="8"/>
      <c r="M18" s="5">
        <v>6752.3099999999995</v>
      </c>
      <c r="N18" s="8"/>
      <c r="P18" s="5">
        <v>6000</v>
      </c>
      <c r="Q18" s="8"/>
    </row>
    <row r="19" spans="1:18" ht="13.5" thickBot="1" x14ac:dyDescent="0.25">
      <c r="A19" t="s">
        <v>17</v>
      </c>
      <c r="D19" s="9">
        <v>0</v>
      </c>
      <c r="E19" s="8"/>
      <c r="G19" s="131">
        <v>0</v>
      </c>
      <c r="H19" s="8"/>
      <c r="J19" s="9">
        <v>0</v>
      </c>
      <c r="K19" s="8"/>
      <c r="M19" s="9">
        <v>0</v>
      </c>
      <c r="N19" s="8"/>
      <c r="P19" s="9">
        <v>0</v>
      </c>
      <c r="Q19" s="8"/>
    </row>
    <row r="20" spans="1:18" s="12" customFormat="1" ht="13.5" customHeight="1" x14ac:dyDescent="0.2">
      <c r="D20" s="68"/>
      <c r="E20" s="8">
        <f>+D19+D17+D18</f>
        <v>22557</v>
      </c>
      <c r="G20" s="68"/>
      <c r="H20" s="8">
        <v>23235.189999999995</v>
      </c>
      <c r="J20" s="68"/>
      <c r="K20" s="8">
        <v>20011.22</v>
      </c>
      <c r="M20" s="68"/>
      <c r="N20" s="8">
        <v>21600.400000000001</v>
      </c>
      <c r="P20" s="68"/>
      <c r="Q20" s="8">
        <v>18794.260000000002</v>
      </c>
    </row>
    <row r="21" spans="1:18" x14ac:dyDescent="0.2">
      <c r="E21" s="8"/>
      <c r="H21" s="8"/>
      <c r="K21" s="8"/>
      <c r="N21" s="8"/>
      <c r="Q21" s="8"/>
    </row>
    <row r="22" spans="1:18" s="12" customFormat="1" ht="13.5" thickBot="1" x14ac:dyDescent="0.25">
      <c r="A22" s="11" t="s">
        <v>30</v>
      </c>
      <c r="E22" s="16">
        <v>0</v>
      </c>
      <c r="H22" s="16">
        <v>0</v>
      </c>
      <c r="K22" s="16">
        <v>0</v>
      </c>
      <c r="N22" s="16">
        <v>0</v>
      </c>
      <c r="Q22" s="16">
        <v>0</v>
      </c>
    </row>
    <row r="23" spans="1:18" ht="19.5" customHeight="1" x14ac:dyDescent="0.2">
      <c r="C23" s="29" t="s">
        <v>55</v>
      </c>
      <c r="D23" s="30"/>
      <c r="E23" s="18">
        <f>+E20</f>
        <v>22557</v>
      </c>
      <c r="F23" s="29"/>
      <c r="G23" s="30"/>
      <c r="H23" s="18">
        <v>23235.189999999995</v>
      </c>
      <c r="I23" s="29"/>
      <c r="J23" s="30"/>
      <c r="K23" s="18">
        <v>20011.22</v>
      </c>
      <c r="L23" s="29"/>
      <c r="M23" s="30"/>
      <c r="N23" s="18">
        <v>21600.400000000001</v>
      </c>
      <c r="O23" s="29"/>
      <c r="P23" s="30"/>
      <c r="Q23" s="18">
        <v>18794.260000000002</v>
      </c>
      <c r="R23" s="29"/>
    </row>
    <row r="24" spans="1:18" ht="19.5" customHeight="1" x14ac:dyDescent="0.2">
      <c r="E24" s="18"/>
      <c r="H24" s="18"/>
      <c r="K24" s="18"/>
      <c r="N24" s="18"/>
      <c r="Q24" s="18"/>
    </row>
    <row r="25" spans="1:18" ht="19.5" customHeight="1" x14ac:dyDescent="0.2">
      <c r="E25" s="18"/>
      <c r="H25" s="18"/>
      <c r="K25" s="18"/>
      <c r="N25" s="18"/>
      <c r="Q25" s="18"/>
    </row>
    <row r="27" spans="1:18" x14ac:dyDescent="0.2">
      <c r="E27" s="52"/>
      <c r="H27" s="52"/>
      <c r="K27" s="52"/>
      <c r="N27" s="52"/>
      <c r="Q27" s="52"/>
    </row>
    <row r="28" spans="1:18" x14ac:dyDescent="0.2">
      <c r="A28" t="s">
        <v>31</v>
      </c>
      <c r="C28" s="70" t="s">
        <v>555</v>
      </c>
    </row>
    <row r="29" spans="1:18" x14ac:dyDescent="0.2">
      <c r="A29" s="70" t="s">
        <v>470</v>
      </c>
    </row>
    <row r="30" spans="1:18" x14ac:dyDescent="0.2">
      <c r="A30" t="s">
        <v>471</v>
      </c>
    </row>
  </sheetData>
  <mergeCells count="10">
    <mergeCell ref="D3:E3"/>
    <mergeCell ref="G3:H3"/>
    <mergeCell ref="J3:K3"/>
    <mergeCell ref="M3:N3"/>
    <mergeCell ref="P3:Q3"/>
    <mergeCell ref="D4:E4"/>
    <mergeCell ref="G4:H4"/>
    <mergeCell ref="J4:K4"/>
    <mergeCell ref="M4:N4"/>
    <mergeCell ref="P4:Q4"/>
  </mergeCells>
  <pageMargins left="0.75" right="0.5" top="0.98" bottom="0.98" header="0.51" footer="0.51"/>
  <pageSetup scale="80" orientation="landscape" r:id="rId1"/>
  <headerFooter alignWithMargins="0">
    <oddFooter>&amp;L&amp;F, &amp;A&amp;R&amp;D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30"/>
  <sheetViews>
    <sheetView zoomScaleNormal="100" workbookViewId="0">
      <selection activeCell="E36" sqref="E36"/>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 min="22" max="22" width="9.140625" style="4" customWidth="1"/>
    <col min="24" max="24" width="2.42578125" customWidth="1"/>
    <col min="25" max="25" width="9.140625" style="4" customWidth="1"/>
    <col min="27" max="27" width="2.42578125" customWidth="1"/>
    <col min="30" max="30" width="2.42578125" customWidth="1"/>
  </cols>
  <sheetData>
    <row r="1" spans="1:32" ht="20.25" x14ac:dyDescent="0.3">
      <c r="A1" s="10" t="s">
        <v>69</v>
      </c>
    </row>
    <row r="3" spans="1:32" s="109" customFormat="1" x14ac:dyDescent="0.2">
      <c r="D3" s="247">
        <v>43465</v>
      </c>
      <c r="E3" s="247"/>
      <c r="G3" s="247">
        <v>43100</v>
      </c>
      <c r="H3" s="247"/>
      <c r="J3" s="247">
        <v>42735</v>
      </c>
      <c r="K3" s="247"/>
      <c r="M3" s="247">
        <v>42369</v>
      </c>
      <c r="N3" s="247"/>
      <c r="P3" s="247">
        <v>42004</v>
      </c>
      <c r="Q3" s="247"/>
      <c r="S3" s="247">
        <v>41639</v>
      </c>
      <c r="T3" s="247"/>
      <c r="V3" s="247">
        <v>41274</v>
      </c>
      <c r="W3" s="247"/>
      <c r="Y3" s="247">
        <v>40908</v>
      </c>
      <c r="Z3" s="247"/>
      <c r="AB3" s="247">
        <v>40543</v>
      </c>
      <c r="AC3" s="247"/>
      <c r="AD3" s="110"/>
      <c r="AE3" s="247">
        <v>40178</v>
      </c>
      <c r="AF3" s="247"/>
    </row>
    <row r="4" spans="1:32" x14ac:dyDescent="0.2">
      <c r="D4" s="248" t="s">
        <v>73</v>
      </c>
      <c r="E4" s="248"/>
      <c r="G4" s="248" t="s">
        <v>73</v>
      </c>
      <c r="H4" s="248"/>
      <c r="J4" s="248" t="s">
        <v>73</v>
      </c>
      <c r="K4" s="248"/>
      <c r="M4" s="248" t="s">
        <v>73</v>
      </c>
      <c r="N4" s="248"/>
      <c r="P4" s="248" t="s">
        <v>73</v>
      </c>
      <c r="Q4" s="248"/>
      <c r="S4" s="248" t="s">
        <v>73</v>
      </c>
      <c r="T4" s="248"/>
      <c r="V4" s="248" t="s">
        <v>73</v>
      </c>
      <c r="W4" s="248"/>
      <c r="Y4" s="248" t="s">
        <v>73</v>
      </c>
      <c r="Z4" s="248"/>
      <c r="AB4" s="248" t="s">
        <v>73</v>
      </c>
      <c r="AC4" s="248"/>
      <c r="AD4" s="35"/>
      <c r="AE4" s="248" t="s">
        <v>73</v>
      </c>
      <c r="AF4" s="248"/>
    </row>
    <row r="5" spans="1:32" ht="15.75" x14ac:dyDescent="0.25">
      <c r="A5" s="2" t="s">
        <v>21</v>
      </c>
      <c r="E5" s="8"/>
      <c r="H5" s="8"/>
      <c r="K5" s="8"/>
      <c r="N5" s="8"/>
      <c r="Q5" s="8"/>
      <c r="T5" s="8"/>
      <c r="W5" s="8"/>
      <c r="Z5" s="8"/>
      <c r="AB5" s="5"/>
      <c r="AC5" s="8"/>
      <c r="AD5" s="7"/>
      <c r="AE5" s="5"/>
      <c r="AF5" s="8"/>
    </row>
    <row r="6" spans="1:32" s="12" customFormat="1" ht="19.5" customHeight="1" x14ac:dyDescent="0.2">
      <c r="A6" s="11" t="s">
        <v>23</v>
      </c>
      <c r="D6" s="68"/>
      <c r="E6" s="14"/>
      <c r="G6" s="68"/>
      <c r="H6" s="14"/>
      <c r="J6" s="68"/>
      <c r="K6" s="14"/>
      <c r="M6" s="68"/>
      <c r="N6" s="14"/>
      <c r="P6" s="68"/>
      <c r="Q6" s="14"/>
      <c r="S6" s="68"/>
      <c r="T6" s="14"/>
      <c r="V6" s="68"/>
      <c r="W6" s="14"/>
      <c r="Y6" s="68"/>
      <c r="Z6" s="14"/>
      <c r="AB6" s="13"/>
      <c r="AC6" s="14"/>
      <c r="AD6" s="36"/>
      <c r="AE6" s="13"/>
      <c r="AF6" s="14"/>
    </row>
    <row r="7" spans="1:32" x14ac:dyDescent="0.2">
      <c r="A7" t="s">
        <v>25</v>
      </c>
      <c r="E7" s="8">
        <v>0</v>
      </c>
      <c r="H7" s="8">
        <v>0</v>
      </c>
      <c r="K7" s="8">
        <v>0</v>
      </c>
      <c r="N7" s="8">
        <v>0</v>
      </c>
      <c r="Q7" s="8">
        <v>0</v>
      </c>
      <c r="T7" s="8">
        <v>0</v>
      </c>
      <c r="W7" s="8">
        <v>0</v>
      </c>
      <c r="Z7" s="8">
        <v>0</v>
      </c>
      <c r="AB7" s="5"/>
      <c r="AC7" s="8">
        <v>0</v>
      </c>
      <c r="AD7" s="7"/>
      <c r="AE7" s="5"/>
      <c r="AF7" s="8">
        <v>0</v>
      </c>
    </row>
    <row r="8" spans="1:32" x14ac:dyDescent="0.2">
      <c r="E8" s="8"/>
      <c r="H8" s="8"/>
      <c r="K8" s="8"/>
      <c r="N8" s="8"/>
      <c r="Q8" s="8"/>
      <c r="T8" s="8"/>
      <c r="W8" s="8"/>
      <c r="Z8" s="8"/>
      <c r="AB8" s="5"/>
      <c r="AC8" s="8"/>
      <c r="AD8" s="7"/>
      <c r="AE8" s="5"/>
      <c r="AF8" s="8"/>
    </row>
    <row r="9" spans="1:32" s="12" customFormat="1" ht="19.5" customHeight="1" x14ac:dyDescent="0.2">
      <c r="A9" s="11" t="s">
        <v>24</v>
      </c>
      <c r="D9" s="68"/>
      <c r="E9" s="14"/>
      <c r="G9" s="68"/>
      <c r="H9" s="14"/>
      <c r="J9" s="68"/>
      <c r="K9" s="14"/>
      <c r="M9" s="68"/>
      <c r="N9" s="14"/>
      <c r="P9" s="68"/>
      <c r="Q9" s="14"/>
      <c r="S9" s="68"/>
      <c r="T9" s="14"/>
      <c r="V9" s="68"/>
      <c r="W9" s="14"/>
      <c r="Y9" s="68"/>
      <c r="Z9" s="14"/>
      <c r="AB9" s="13"/>
      <c r="AC9" s="14"/>
      <c r="AD9" s="36"/>
      <c r="AE9" s="13"/>
      <c r="AF9" s="14"/>
    </row>
    <row r="10" spans="1:32" x14ac:dyDescent="0.2">
      <c r="A10" t="s">
        <v>26</v>
      </c>
      <c r="D10" s="4">
        <f>+'kolommenbalans 2018'!D46</f>
        <v>199.92000000000002</v>
      </c>
      <c r="E10" s="15"/>
      <c r="G10" s="4">
        <v>1894.85</v>
      </c>
      <c r="H10" s="15"/>
      <c r="J10" s="4">
        <f>+'balans 2016'!D10</f>
        <v>167.54</v>
      </c>
      <c r="K10" s="15"/>
      <c r="M10" s="4">
        <f>+'balans 2015'!D10</f>
        <v>163.28</v>
      </c>
      <c r="N10" s="15"/>
      <c r="P10" s="4">
        <f>+'kolommenbalans 2014'!E29</f>
        <v>112.35</v>
      </c>
      <c r="Q10" s="15"/>
      <c r="S10" s="4">
        <v>99.669999999999987</v>
      </c>
      <c r="T10" s="15"/>
      <c r="V10" s="4">
        <v>62.07</v>
      </c>
      <c r="W10" s="15"/>
      <c r="Y10" s="4">
        <v>69.2</v>
      </c>
      <c r="Z10" s="15"/>
      <c r="AB10" s="5">
        <v>0</v>
      </c>
      <c r="AC10" s="15"/>
      <c r="AD10" s="26"/>
      <c r="AE10" s="5">
        <v>0</v>
      </c>
      <c r="AF10" s="15"/>
    </row>
    <row r="11" spans="1:32" ht="13.5" thickBot="1" x14ac:dyDescent="0.25">
      <c r="A11" s="70" t="s">
        <v>427</v>
      </c>
      <c r="D11" s="9">
        <f>+'kolommenbalans 2018'!B46+'kolommenbalans 2018'!C46</f>
        <v>22356.939999999991</v>
      </c>
      <c r="E11" s="8"/>
      <c r="G11" s="9">
        <v>21340.339999999997</v>
      </c>
      <c r="H11" s="8"/>
      <c r="J11" s="9">
        <f>+'balans 2016'!D11</f>
        <v>19843.679999999993</v>
      </c>
      <c r="K11" s="8"/>
      <c r="M11" s="4">
        <f>+'balans 2015'!D11</f>
        <v>21437.119999999995</v>
      </c>
      <c r="N11" s="8"/>
      <c r="P11" s="9">
        <f>+'kolommenbalans 2014'!C29+'kolommenbalans 2014'!D29</f>
        <v>18681.909999999996</v>
      </c>
      <c r="Q11" s="8"/>
      <c r="S11" s="9">
        <v>18624.18</v>
      </c>
      <c r="T11" s="8"/>
      <c r="V11" s="9">
        <v>11168.810000000001</v>
      </c>
      <c r="W11" s="8"/>
      <c r="Y11" s="9">
        <v>10533.65</v>
      </c>
      <c r="Z11" s="8"/>
      <c r="AB11" s="6">
        <v>6086.88</v>
      </c>
      <c r="AC11" s="8"/>
      <c r="AD11" s="7"/>
      <c r="AE11" s="6">
        <v>635.5</v>
      </c>
      <c r="AF11" s="8"/>
    </row>
    <row r="12" spans="1:32" ht="13.5" thickBot="1" x14ac:dyDescent="0.25">
      <c r="E12" s="16">
        <f>+D11+D10</f>
        <v>22556.85999999999</v>
      </c>
      <c r="H12" s="16">
        <v>23235.189999999995</v>
      </c>
      <c r="K12" s="16">
        <f>+J11+J10</f>
        <v>20011.219999999994</v>
      </c>
      <c r="N12" s="16">
        <f>+M11+M10</f>
        <v>21600.399999999994</v>
      </c>
      <c r="Q12" s="16">
        <f>+P11+P10</f>
        <v>18794.259999999995</v>
      </c>
      <c r="T12" s="16">
        <v>18723.849999999999</v>
      </c>
      <c r="W12" s="16">
        <v>11230.880000000001</v>
      </c>
      <c r="Z12" s="16">
        <v>10602.85</v>
      </c>
      <c r="AB12" s="5"/>
      <c r="AC12" s="16">
        <v>6086.88</v>
      </c>
      <c r="AD12" s="7"/>
      <c r="AE12" s="5"/>
      <c r="AF12" s="16">
        <v>635.5</v>
      </c>
    </row>
    <row r="13" spans="1:32" ht="19.5" customHeight="1" x14ac:dyDescent="0.2">
      <c r="A13" s="3"/>
      <c r="C13" s="29" t="s">
        <v>55</v>
      </c>
      <c r="D13" s="30"/>
      <c r="E13" s="18">
        <f>+E12+E7</f>
        <v>22556.85999999999</v>
      </c>
      <c r="F13" s="29"/>
      <c r="G13" s="30"/>
      <c r="H13" s="18">
        <v>23235.189999999995</v>
      </c>
      <c r="I13" s="29"/>
      <c r="J13" s="30"/>
      <c r="K13" s="18">
        <f>+K12+K7</f>
        <v>20011.219999999994</v>
      </c>
      <c r="L13" s="29"/>
      <c r="M13" s="30"/>
      <c r="N13" s="18">
        <f>+N12+N7</f>
        <v>21600.399999999994</v>
      </c>
      <c r="O13" s="29"/>
      <c r="P13" s="30"/>
      <c r="Q13" s="18">
        <f>+Q12+Q7</f>
        <v>18794.259999999995</v>
      </c>
      <c r="R13" s="29"/>
      <c r="S13" s="30"/>
      <c r="T13" s="18">
        <v>18723.849999999999</v>
      </c>
      <c r="U13" s="29"/>
      <c r="V13" s="30"/>
      <c r="W13" s="18">
        <v>11230.880000000001</v>
      </c>
      <c r="X13" s="29"/>
      <c r="Y13" s="30"/>
      <c r="Z13" s="18">
        <v>10602.85</v>
      </c>
      <c r="AA13" s="29"/>
      <c r="AB13" s="7"/>
      <c r="AC13" s="18">
        <v>6086.88</v>
      </c>
      <c r="AD13" s="37"/>
      <c r="AE13" s="7"/>
      <c r="AF13" s="18">
        <v>635.5</v>
      </c>
    </row>
    <row r="14" spans="1:32" x14ac:dyDescent="0.2">
      <c r="E14" s="8"/>
      <c r="H14" s="8"/>
      <c r="K14" s="8"/>
      <c r="N14" s="8"/>
      <c r="Q14" s="8"/>
      <c r="T14" s="8"/>
      <c r="W14" s="8"/>
      <c r="Z14" s="8"/>
      <c r="AB14" s="5"/>
      <c r="AC14" s="8"/>
      <c r="AD14" s="7"/>
      <c r="AE14" s="5"/>
      <c r="AF14" s="8"/>
    </row>
    <row r="15" spans="1:32" ht="15.75" x14ac:dyDescent="0.25">
      <c r="A15" s="2" t="s">
        <v>22</v>
      </c>
      <c r="E15" s="8"/>
      <c r="H15" s="8"/>
      <c r="K15" s="8"/>
      <c r="N15" s="8"/>
      <c r="Q15" s="8"/>
      <c r="T15" s="8"/>
      <c r="W15" s="8"/>
      <c r="Z15" s="8"/>
      <c r="AB15" s="5"/>
      <c r="AC15" s="8"/>
      <c r="AD15" s="7"/>
      <c r="AE15" s="5"/>
      <c r="AF15" s="8"/>
    </row>
    <row r="16" spans="1:32" ht="19.5" customHeight="1" x14ac:dyDescent="0.2">
      <c r="A16" s="11" t="s">
        <v>29</v>
      </c>
      <c r="E16" s="8"/>
      <c r="H16" s="8"/>
      <c r="K16" s="8"/>
      <c r="N16" s="8"/>
      <c r="Q16" s="8"/>
      <c r="T16" s="8"/>
      <c r="W16" s="8"/>
      <c r="Z16" s="8"/>
      <c r="AB16" s="5"/>
      <c r="AC16" s="8"/>
      <c r="AD16" s="7"/>
      <c r="AE16" s="5"/>
      <c r="AF16" s="8"/>
    </row>
    <row r="17" spans="1:35" x14ac:dyDescent="0.2">
      <c r="A17" t="s">
        <v>28</v>
      </c>
      <c r="D17" s="5">
        <f>-'kolommenbalans 2018'!G46</f>
        <v>4676.8600000000024</v>
      </c>
      <c r="E17" s="8"/>
      <c r="G17" s="5">
        <v>12645.189999999995</v>
      </c>
      <c r="H17" s="8"/>
      <c r="J17" s="5">
        <f>+'balans 2016'!D17</f>
        <v>4230.5700000000015</v>
      </c>
      <c r="K17" s="8"/>
      <c r="M17" s="5">
        <f>-'balans 2015'!D17</f>
        <v>14848.090000000002</v>
      </c>
      <c r="N17" s="8"/>
      <c r="P17" s="5">
        <f>-'kolommenbalans 2014'!F29</f>
        <v>12794.26</v>
      </c>
      <c r="Q17" s="8"/>
      <c r="S17" s="5">
        <v>11223.85</v>
      </c>
      <c r="T17" s="8"/>
      <c r="V17" s="5">
        <v>635.5</v>
      </c>
      <c r="W17" s="8"/>
      <c r="Y17" s="5">
        <v>635.5</v>
      </c>
      <c r="Z17" s="8"/>
      <c r="AB17" s="5">
        <v>635.5</v>
      </c>
      <c r="AC17" s="8"/>
      <c r="AD17" s="7"/>
      <c r="AE17" s="5">
        <v>635.5</v>
      </c>
      <c r="AF17" s="8"/>
    </row>
    <row r="18" spans="1:35" x14ac:dyDescent="0.2">
      <c r="A18" s="70" t="s">
        <v>428</v>
      </c>
      <c r="D18" s="5">
        <f>-'kolommenbalans 2018'!H46</f>
        <v>17880</v>
      </c>
      <c r="E18" s="8"/>
      <c r="G18" s="5">
        <v>10590</v>
      </c>
      <c r="H18" s="8"/>
      <c r="J18" s="5">
        <f>+'balans 2016'!D18</f>
        <v>15780.65</v>
      </c>
      <c r="K18" s="8"/>
      <c r="M18" s="5">
        <f>-'balans 2015'!D18</f>
        <v>6752.3099999999995</v>
      </c>
      <c r="N18" s="8"/>
      <c r="P18" s="5">
        <f>-'kolommenbalans 2014'!G29</f>
        <v>6000</v>
      </c>
      <c r="Q18" s="8"/>
      <c r="S18" s="5">
        <v>7500</v>
      </c>
      <c r="T18" s="8"/>
      <c r="V18" s="5">
        <v>1460</v>
      </c>
      <c r="W18" s="8"/>
      <c r="Y18" s="5">
        <v>3130</v>
      </c>
      <c r="Z18" s="8"/>
      <c r="AB18" s="5">
        <v>0</v>
      </c>
      <c r="AC18" s="8"/>
      <c r="AD18" s="7"/>
      <c r="AE18" s="5">
        <v>0</v>
      </c>
      <c r="AF18" s="8"/>
    </row>
    <row r="19" spans="1:35" ht="13.5" thickBot="1" x14ac:dyDescent="0.25">
      <c r="A19" t="s">
        <v>17</v>
      </c>
      <c r="D19" s="9">
        <v>0</v>
      </c>
      <c r="E19" s="8"/>
      <c r="G19" s="9">
        <v>0</v>
      </c>
      <c r="H19" s="8"/>
      <c r="J19" s="9">
        <v>0</v>
      </c>
      <c r="K19" s="8"/>
      <c r="M19" s="9">
        <v>0</v>
      </c>
      <c r="N19" s="8"/>
      <c r="P19" s="9">
        <v>0</v>
      </c>
      <c r="Q19" s="8"/>
      <c r="S19" s="9">
        <v>0</v>
      </c>
      <c r="T19" s="8"/>
      <c r="V19" s="9">
        <v>7458.3500000000013</v>
      </c>
      <c r="W19" s="8"/>
      <c r="Y19" s="9">
        <v>-41.450000000000728</v>
      </c>
      <c r="Z19" s="8"/>
      <c r="AB19" s="6">
        <v>2458.5500000000002</v>
      </c>
      <c r="AC19" s="8"/>
      <c r="AD19" s="7"/>
      <c r="AE19" s="6">
        <v>0</v>
      </c>
      <c r="AF19" s="8"/>
    </row>
    <row r="20" spans="1:35" s="12" customFormat="1" ht="13.5" customHeight="1" x14ac:dyDescent="0.2">
      <c r="D20" s="68"/>
      <c r="E20" s="49">
        <f>+D19+D17+D18</f>
        <v>22556.86</v>
      </c>
      <c r="G20" s="68"/>
      <c r="H20" s="49">
        <v>23235.189999999995</v>
      </c>
      <c r="J20" s="68"/>
      <c r="K20" s="49">
        <f>+J19+J17+J18</f>
        <v>20011.22</v>
      </c>
      <c r="M20" s="68"/>
      <c r="N20" s="49">
        <f>+M19+M17+M18</f>
        <v>21600.400000000001</v>
      </c>
      <c r="P20" s="68"/>
      <c r="Q20" s="49">
        <f>+P19+P17+P18</f>
        <v>18794.260000000002</v>
      </c>
      <c r="S20" s="68"/>
      <c r="T20" s="49">
        <v>18723.849999999999</v>
      </c>
      <c r="V20" s="68"/>
      <c r="W20" s="49">
        <v>9553.8500000000022</v>
      </c>
      <c r="Y20" s="68"/>
      <c r="Z20" s="49">
        <v>3724.0499999999993</v>
      </c>
      <c r="AB20" s="13"/>
      <c r="AC20" s="49">
        <v>3094.05</v>
      </c>
      <c r="AD20" s="50"/>
      <c r="AE20" s="50"/>
      <c r="AF20" s="49">
        <v>635.5</v>
      </c>
    </row>
    <row r="21" spans="1:35" x14ac:dyDescent="0.2">
      <c r="E21" s="8"/>
      <c r="H21" s="8"/>
      <c r="K21" s="8"/>
      <c r="N21" s="8"/>
      <c r="Q21" s="8"/>
      <c r="T21" s="8"/>
      <c r="W21" s="8"/>
      <c r="Z21" s="8"/>
      <c r="AB21" s="5"/>
      <c r="AC21" s="8"/>
      <c r="AD21" s="7"/>
      <c r="AE21" s="5"/>
      <c r="AF21" s="8"/>
    </row>
    <row r="22" spans="1:35" s="12" customFormat="1" ht="13.5" thickBot="1" x14ac:dyDescent="0.25">
      <c r="A22" s="11" t="s">
        <v>30</v>
      </c>
      <c r="E22" s="16">
        <v>0</v>
      </c>
      <c r="H22" s="16">
        <v>0</v>
      </c>
      <c r="K22" s="16">
        <v>0</v>
      </c>
      <c r="N22" s="16">
        <v>0</v>
      </c>
      <c r="Q22" s="16">
        <v>0</v>
      </c>
      <c r="T22" s="16">
        <v>0</v>
      </c>
      <c r="W22" s="16">
        <v>1677.0299999999997</v>
      </c>
      <c r="Z22" s="16">
        <v>6879</v>
      </c>
      <c r="AB22" s="13"/>
      <c r="AC22" s="51">
        <v>2993.0299999999997</v>
      </c>
      <c r="AD22" s="36"/>
      <c r="AE22" s="13"/>
      <c r="AF22" s="17">
        <v>0</v>
      </c>
    </row>
    <row r="23" spans="1:35" ht="19.5" customHeight="1" x14ac:dyDescent="0.2">
      <c r="C23" s="29" t="s">
        <v>55</v>
      </c>
      <c r="D23" s="30"/>
      <c r="E23" s="18">
        <f>+E20</f>
        <v>22556.86</v>
      </c>
      <c r="F23" s="29"/>
      <c r="G23" s="30"/>
      <c r="H23" s="18">
        <v>23235.189999999995</v>
      </c>
      <c r="I23" s="29"/>
      <c r="J23" s="30"/>
      <c r="K23" s="18">
        <f>+K20</f>
        <v>20011.22</v>
      </c>
      <c r="L23" s="29"/>
      <c r="M23" s="30"/>
      <c r="N23" s="18">
        <f>+N20</f>
        <v>21600.400000000001</v>
      </c>
      <c r="O23" s="29"/>
      <c r="P23" s="30"/>
      <c r="Q23" s="18">
        <f>+Q20+Q22</f>
        <v>18794.260000000002</v>
      </c>
      <c r="R23" s="29"/>
      <c r="S23" s="30"/>
      <c r="T23" s="18">
        <v>18723.849999999999</v>
      </c>
      <c r="U23" s="29"/>
      <c r="V23" s="30"/>
      <c r="W23" s="18">
        <v>11230.880000000001</v>
      </c>
      <c r="X23" s="29"/>
      <c r="Y23" s="30"/>
      <c r="Z23" s="18">
        <v>10603.05</v>
      </c>
      <c r="AA23" s="29"/>
      <c r="AB23" s="5"/>
      <c r="AC23" s="18">
        <v>6087.08</v>
      </c>
      <c r="AD23" s="37"/>
      <c r="AE23" s="5"/>
      <c r="AF23" s="18">
        <v>635.5</v>
      </c>
    </row>
    <row r="24" spans="1:35" ht="19.5" customHeight="1" x14ac:dyDescent="0.2">
      <c r="E24" s="18"/>
      <c r="H24" s="18"/>
      <c r="K24" s="18"/>
      <c r="N24" s="18"/>
      <c r="Q24" s="18"/>
      <c r="T24" s="18"/>
      <c r="W24" s="18"/>
      <c r="Z24" s="18"/>
      <c r="AB24" s="5"/>
      <c r="AC24" s="18"/>
      <c r="AD24" s="37"/>
      <c r="AE24" s="5"/>
      <c r="AF24" s="18"/>
    </row>
    <row r="25" spans="1:35" ht="19.5" customHeight="1" x14ac:dyDescent="0.2">
      <c r="E25" s="18"/>
      <c r="H25" s="18"/>
      <c r="K25" s="18"/>
      <c r="N25" s="18"/>
      <c r="Q25" s="18"/>
      <c r="T25" s="18"/>
      <c r="W25" s="18"/>
      <c r="Z25" s="18"/>
      <c r="AB25" s="5"/>
      <c r="AC25" s="18"/>
      <c r="AD25" s="37"/>
      <c r="AE25" s="5"/>
      <c r="AF25" s="18"/>
    </row>
    <row r="26" spans="1:35" x14ac:dyDescent="0.2">
      <c r="AB26" s="5"/>
      <c r="AC26" s="7"/>
      <c r="AD26" s="7"/>
      <c r="AE26" s="5"/>
      <c r="AF26" s="7"/>
    </row>
    <row r="27" spans="1:35" x14ac:dyDescent="0.2">
      <c r="E27" s="52"/>
      <c r="H27" s="52"/>
      <c r="K27" s="52"/>
      <c r="N27" s="52"/>
      <c r="Q27" s="52"/>
      <c r="T27" s="52"/>
      <c r="W27" s="52"/>
      <c r="Z27" s="52"/>
    </row>
    <row r="28" spans="1:35" x14ac:dyDescent="0.2">
      <c r="A28" t="s">
        <v>31</v>
      </c>
      <c r="C28" t="s">
        <v>507</v>
      </c>
      <c r="AC28" s="22"/>
      <c r="AD28" s="22"/>
      <c r="AF28" s="22"/>
    </row>
    <row r="29" spans="1:35" x14ac:dyDescent="0.2">
      <c r="A29" s="70" t="s">
        <v>470</v>
      </c>
      <c r="AI29" s="12"/>
    </row>
    <row r="30" spans="1:35" x14ac:dyDescent="0.2">
      <c r="A30" t="s">
        <v>471</v>
      </c>
    </row>
  </sheetData>
  <mergeCells count="20">
    <mergeCell ref="S3:T3"/>
    <mergeCell ref="V3:W3"/>
    <mergeCell ref="AB4:AC4"/>
    <mergeCell ref="AE4:AF4"/>
    <mergeCell ref="D3:E3"/>
    <mergeCell ref="D4:E4"/>
    <mergeCell ref="Y3:Z3"/>
    <mergeCell ref="AB3:AC3"/>
    <mergeCell ref="AE3:AF3"/>
    <mergeCell ref="G4:H4"/>
    <mergeCell ref="J4:K4"/>
    <mergeCell ref="M4:N4"/>
    <mergeCell ref="P4:Q4"/>
    <mergeCell ref="S4:T4"/>
    <mergeCell ref="V4:W4"/>
    <mergeCell ref="Y4:Z4"/>
    <mergeCell ref="G3:H3"/>
    <mergeCell ref="J3:K3"/>
    <mergeCell ref="M3:N3"/>
    <mergeCell ref="P3:Q3"/>
  </mergeCells>
  <pageMargins left="0.75" right="0.5" top="0.98" bottom="0.98" header="0.51" footer="0.51"/>
  <pageSetup scale="75" orientation="landscape"/>
  <headerFooter alignWithMargins="0">
    <oddFooter>&amp;L&amp;F, &amp;A&amp;R&amp;D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72"/>
  <sheetViews>
    <sheetView topLeftCell="A37" zoomScaleNormal="100" workbookViewId="0">
      <selection activeCell="Q41" sqref="Q41"/>
    </sheetView>
  </sheetViews>
  <sheetFormatPr defaultColWidth="8.85546875" defaultRowHeight="12.75" x14ac:dyDescent="0.2"/>
  <cols>
    <col min="1" max="1" width="2.42578125" customWidth="1"/>
    <col min="2" max="2" width="6.85546875" customWidth="1"/>
    <col min="3" max="3" width="25.85546875" customWidth="1"/>
    <col min="4" max="4" width="10.28515625" style="32" customWidth="1"/>
    <col min="5" max="5" width="10.28515625" bestFit="1" customWidth="1"/>
    <col min="6" max="6" width="2.42578125" customWidth="1"/>
    <col min="7" max="7" width="10.28515625" style="32" customWidth="1"/>
    <col min="8" max="8" width="10.28515625" bestFit="1" customWidth="1"/>
    <col min="9" max="9" width="2.42578125" customWidth="1"/>
    <col min="10" max="10" width="10.28515625" style="32" customWidth="1"/>
    <col min="12" max="12" width="2.42578125" customWidth="1"/>
    <col min="13" max="13" width="10.28515625" style="4" bestFit="1" customWidth="1"/>
    <col min="15" max="15" width="2.42578125" customWidth="1"/>
    <col min="17" max="17" width="10.28515625" bestFit="1" customWidth="1"/>
    <col min="18" max="18" width="2.42578125" customWidth="1"/>
    <col min="21" max="21" width="2.42578125" customWidth="1"/>
    <col min="22" max="22" width="9.140625" style="5" customWidth="1"/>
    <col min="24" max="24" width="2.42578125" customWidth="1"/>
    <col min="26" max="26" width="10.28515625" customWidth="1"/>
    <col min="27" max="27" width="2.42578125" customWidth="1"/>
    <col min="29" max="29" width="10.28515625" customWidth="1"/>
  </cols>
  <sheetData>
    <row r="1" spans="1:29" ht="20.25" x14ac:dyDescent="0.3">
      <c r="A1" s="10" t="s">
        <v>74</v>
      </c>
    </row>
    <row r="3" spans="1:29" x14ac:dyDescent="0.2">
      <c r="D3" s="249" t="s">
        <v>513</v>
      </c>
      <c r="E3" s="236"/>
      <c r="F3" s="27"/>
      <c r="G3" s="249" t="s">
        <v>439</v>
      </c>
      <c r="H3" s="236"/>
      <c r="I3" s="27"/>
      <c r="J3" s="249" t="s">
        <v>369</v>
      </c>
      <c r="K3" s="236"/>
      <c r="L3" s="27"/>
      <c r="M3" s="249" t="s">
        <v>343</v>
      </c>
      <c r="N3" s="236"/>
      <c r="O3" s="27"/>
      <c r="P3" s="249" t="s">
        <v>290</v>
      </c>
      <c r="Q3" s="236"/>
      <c r="R3" s="27"/>
      <c r="S3" s="249" t="s">
        <v>244</v>
      </c>
      <c r="T3" s="236"/>
      <c r="U3" s="27"/>
      <c r="V3" s="249" t="s">
        <v>230</v>
      </c>
      <c r="W3" s="236"/>
      <c r="Y3" s="250" t="s">
        <v>368</v>
      </c>
      <c r="Z3" s="236"/>
      <c r="AB3" s="251" t="s">
        <v>75</v>
      </c>
      <c r="AC3" s="236"/>
    </row>
    <row r="4" spans="1:29" x14ac:dyDescent="0.2">
      <c r="D4" s="232" t="s">
        <v>73</v>
      </c>
      <c r="E4" s="231"/>
      <c r="F4" s="28"/>
      <c r="G4" s="232" t="s">
        <v>73</v>
      </c>
      <c r="H4" s="231"/>
      <c r="I4" s="28"/>
      <c r="J4" s="232" t="s">
        <v>73</v>
      </c>
      <c r="K4" s="231"/>
      <c r="L4" s="28"/>
      <c r="M4" s="232" t="s">
        <v>73</v>
      </c>
      <c r="N4" s="231"/>
      <c r="O4" s="28"/>
      <c r="P4" s="232" t="s">
        <v>73</v>
      </c>
      <c r="Q4" s="231"/>
      <c r="R4" s="28"/>
      <c r="S4" s="232" t="s">
        <v>73</v>
      </c>
      <c r="T4" s="231"/>
      <c r="U4" s="28"/>
      <c r="V4" s="232" t="s">
        <v>73</v>
      </c>
      <c r="W4" s="231"/>
      <c r="Y4" s="232" t="s">
        <v>73</v>
      </c>
      <c r="Z4" s="231"/>
      <c r="AB4" s="232" t="s">
        <v>73</v>
      </c>
      <c r="AC4" s="231"/>
    </row>
    <row r="5" spans="1:29" ht="15.75" x14ac:dyDescent="0.25">
      <c r="A5" s="2" t="s">
        <v>0</v>
      </c>
      <c r="D5" s="44"/>
      <c r="E5" s="8"/>
      <c r="F5" s="7"/>
      <c r="G5" s="44"/>
      <c r="H5" s="8"/>
      <c r="I5" s="7"/>
      <c r="J5" s="44"/>
      <c r="K5" s="8"/>
      <c r="L5" s="7"/>
      <c r="M5" s="44"/>
      <c r="N5" s="8"/>
      <c r="O5" s="7"/>
      <c r="P5" s="5"/>
      <c r="Q5" s="8"/>
      <c r="R5" s="7"/>
      <c r="S5" s="5"/>
      <c r="T5" s="8"/>
      <c r="U5" s="7"/>
      <c r="W5" s="8"/>
      <c r="Y5" s="5"/>
      <c r="Z5" s="8"/>
      <c r="AB5" s="5"/>
      <c r="AC5" s="8"/>
    </row>
    <row r="6" spans="1:29" x14ac:dyDescent="0.2">
      <c r="A6" t="s">
        <v>11</v>
      </c>
      <c r="D6" s="32">
        <f>'kolommenbalans 2018'!K44</f>
        <v>19796.57</v>
      </c>
      <c r="E6" s="8"/>
      <c r="F6" s="7"/>
      <c r="G6" s="32">
        <v>20251.940000000002</v>
      </c>
      <c r="H6" s="8"/>
      <c r="I6" s="7"/>
      <c r="J6" s="32">
        <v>18100</v>
      </c>
      <c r="K6" s="8"/>
      <c r="L6" s="7"/>
      <c r="M6" s="32">
        <v>21500</v>
      </c>
      <c r="N6" s="8"/>
      <c r="O6" s="7"/>
      <c r="P6" s="4">
        <v>7500</v>
      </c>
      <c r="Q6" s="8"/>
      <c r="R6" s="7"/>
      <c r="T6" s="8"/>
      <c r="U6" s="7"/>
      <c r="V6"/>
      <c r="W6" s="8"/>
      <c r="Y6" s="5">
        <v>7500</v>
      </c>
      <c r="Z6" s="8"/>
      <c r="AC6" s="8"/>
    </row>
    <row r="7" spans="1:29" x14ac:dyDescent="0.2">
      <c r="A7" t="s">
        <v>1</v>
      </c>
      <c r="D7" s="32">
        <v>0</v>
      </c>
      <c r="E7" s="8"/>
      <c r="F7" s="7"/>
      <c r="G7" s="32">
        <v>0</v>
      </c>
      <c r="H7" s="8"/>
      <c r="I7" s="7"/>
      <c r="J7" s="32">
        <f>+'winst en verlies 2016'!G7</f>
        <v>0</v>
      </c>
      <c r="K7" s="8"/>
      <c r="L7" s="7"/>
      <c r="M7" s="32">
        <v>0</v>
      </c>
      <c r="N7" s="8"/>
      <c r="O7" s="7"/>
      <c r="P7" s="5">
        <v>0</v>
      </c>
      <c r="Q7" s="8"/>
      <c r="R7" s="7"/>
      <c r="S7" s="5">
        <v>0</v>
      </c>
      <c r="T7" s="8"/>
      <c r="U7" s="7"/>
      <c r="V7" s="5">
        <v>0</v>
      </c>
      <c r="W7" s="8"/>
      <c r="Y7" s="5">
        <v>0</v>
      </c>
      <c r="Z7" s="8"/>
      <c r="AB7" s="5">
        <v>0</v>
      </c>
      <c r="AC7" s="8"/>
    </row>
    <row r="8" spans="1:29" x14ac:dyDescent="0.2">
      <c r="A8" t="s">
        <v>2</v>
      </c>
      <c r="D8" s="32">
        <v>0</v>
      </c>
      <c r="E8" s="8"/>
      <c r="F8" s="7"/>
      <c r="G8" s="32">
        <v>0</v>
      </c>
      <c r="H8" s="8"/>
      <c r="I8" s="7"/>
      <c r="J8" s="32">
        <f>+'winst en verlies 2016'!G8</f>
        <v>0</v>
      </c>
      <c r="K8" s="8"/>
      <c r="L8" s="7"/>
      <c r="M8" s="32">
        <v>0</v>
      </c>
      <c r="N8" s="8"/>
      <c r="O8" s="7"/>
      <c r="P8" s="5">
        <v>0</v>
      </c>
      <c r="Q8" s="8"/>
      <c r="R8" s="7"/>
      <c r="S8" s="5">
        <v>7500</v>
      </c>
      <c r="T8" s="8"/>
      <c r="U8" s="7"/>
      <c r="V8" s="5">
        <v>7500</v>
      </c>
      <c r="W8" s="8"/>
      <c r="Y8" s="5"/>
      <c r="Z8" s="8"/>
      <c r="AB8" s="5">
        <v>7500</v>
      </c>
      <c r="AC8" s="8"/>
    </row>
    <row r="9" spans="1:29" x14ac:dyDescent="0.2">
      <c r="A9" s="70" t="s">
        <v>432</v>
      </c>
      <c r="D9" s="32">
        <f>-'kolommenbalans 2018'!N38</f>
        <v>119.92</v>
      </c>
      <c r="E9" s="8"/>
      <c r="F9" s="7"/>
      <c r="G9" s="32">
        <v>173.56</v>
      </c>
      <c r="H9" s="8"/>
      <c r="I9" s="7"/>
      <c r="J9" s="32">
        <v>334.54</v>
      </c>
      <c r="K9" s="8"/>
      <c r="L9" s="7"/>
      <c r="M9" s="32"/>
      <c r="N9" s="8"/>
      <c r="O9" s="7"/>
      <c r="P9" s="5"/>
      <c r="Q9" s="8"/>
      <c r="R9" s="7"/>
      <c r="S9" s="5"/>
      <c r="T9" s="8"/>
      <c r="U9" s="7"/>
      <c r="W9" s="8"/>
      <c r="Y9" s="5"/>
      <c r="Z9" s="8"/>
      <c r="AB9" s="5"/>
      <c r="AC9" s="8"/>
    </row>
    <row r="10" spans="1:29" ht="13.5" thickBot="1" x14ac:dyDescent="0.25">
      <c r="A10" s="70" t="s">
        <v>431</v>
      </c>
      <c r="D10" s="103">
        <f>'kolommenbalans 2018'!L44</f>
        <v>3.67</v>
      </c>
      <c r="E10" s="8"/>
      <c r="F10" s="7"/>
      <c r="G10" s="103">
        <v>14.62</v>
      </c>
      <c r="H10" s="8"/>
      <c r="I10" s="7"/>
      <c r="J10" s="103">
        <v>32.479999999999997</v>
      </c>
      <c r="K10" s="8"/>
      <c r="L10" s="7"/>
      <c r="M10" s="103">
        <v>217.11</v>
      </c>
      <c r="N10" s="8"/>
      <c r="O10" s="7"/>
      <c r="P10" s="6">
        <v>183</v>
      </c>
      <c r="Q10" s="8"/>
      <c r="R10" s="7"/>
      <c r="S10" s="6">
        <v>112</v>
      </c>
      <c r="T10" s="8"/>
      <c r="U10" s="7"/>
      <c r="V10" s="6">
        <v>62</v>
      </c>
      <c r="W10" s="8"/>
      <c r="Y10" s="6">
        <v>100</v>
      </c>
      <c r="Z10" s="8"/>
      <c r="AB10" s="6">
        <v>86.56</v>
      </c>
      <c r="AC10" s="8"/>
    </row>
    <row r="11" spans="1:29" ht="19.5" customHeight="1" x14ac:dyDescent="0.2">
      <c r="A11" s="3" t="s">
        <v>3</v>
      </c>
      <c r="D11" s="86"/>
      <c r="E11" s="8">
        <f>SUM(D6:D10)</f>
        <v>19920.159999999996</v>
      </c>
      <c r="F11" s="7"/>
      <c r="G11" s="86"/>
      <c r="H11" s="8">
        <v>20440.120000000003</v>
      </c>
      <c r="I11" s="7"/>
      <c r="J11" s="86"/>
      <c r="K11" s="8">
        <f>SUM(J6:J10)</f>
        <v>18467.02</v>
      </c>
      <c r="L11" s="7"/>
      <c r="M11" s="86"/>
      <c r="N11" s="8">
        <v>21717.11</v>
      </c>
      <c r="O11" s="7"/>
      <c r="P11" s="7"/>
      <c r="Q11" s="8">
        <f>SUM(P6:P10)</f>
        <v>7683</v>
      </c>
      <c r="R11" s="7"/>
      <c r="S11" s="7"/>
      <c r="T11" s="8">
        <f>SUM(S7:S10)</f>
        <v>7612</v>
      </c>
      <c r="U11" s="7"/>
      <c r="V11" s="7"/>
      <c r="W11" s="8">
        <f>SUM(V7:V10)</f>
        <v>7562</v>
      </c>
      <c r="Y11" s="7"/>
      <c r="Z11" s="8">
        <f>SUM(Y6:Y10)</f>
        <v>7600</v>
      </c>
      <c r="AB11" s="7"/>
      <c r="AC11" s="8">
        <v>7586.56</v>
      </c>
    </row>
    <row r="12" spans="1:29" x14ac:dyDescent="0.2">
      <c r="D12" s="44"/>
      <c r="E12" s="8"/>
      <c r="F12" s="7"/>
      <c r="G12" s="44"/>
      <c r="H12" s="8"/>
      <c r="I12" s="7"/>
      <c r="J12" s="44"/>
      <c r="K12" s="8"/>
      <c r="L12" s="7"/>
      <c r="M12" s="44"/>
      <c r="N12" s="8"/>
      <c r="O12" s="7"/>
      <c r="P12" s="5"/>
      <c r="Q12" s="8"/>
      <c r="R12" s="7"/>
      <c r="S12" s="5"/>
      <c r="T12" s="8"/>
      <c r="U12" s="7"/>
      <c r="W12" s="8"/>
      <c r="Y12" s="5"/>
      <c r="Z12" s="8"/>
      <c r="AB12" s="5"/>
      <c r="AC12" s="8"/>
    </row>
    <row r="13" spans="1:29" x14ac:dyDescent="0.2">
      <c r="A13" t="s">
        <v>4</v>
      </c>
      <c r="D13" s="44">
        <v>0</v>
      </c>
      <c r="E13" s="8"/>
      <c r="F13" s="7"/>
      <c r="G13" s="44">
        <v>0</v>
      </c>
      <c r="H13" s="8"/>
      <c r="I13" s="7"/>
      <c r="J13" s="44">
        <v>0</v>
      </c>
      <c r="K13" s="8"/>
      <c r="L13" s="7"/>
      <c r="M13" s="44">
        <v>0</v>
      </c>
      <c r="N13" s="8"/>
      <c r="O13" s="7"/>
      <c r="P13" s="5">
        <v>0</v>
      </c>
      <c r="Q13" s="8"/>
      <c r="R13" s="7"/>
      <c r="S13" s="5">
        <v>0</v>
      </c>
      <c r="T13" s="8"/>
      <c r="U13" s="7"/>
      <c r="V13" s="5">
        <v>0</v>
      </c>
      <c r="W13" s="8"/>
      <c r="Y13" s="5">
        <v>0</v>
      </c>
      <c r="Z13" s="8"/>
      <c r="AB13" s="5">
        <v>0</v>
      </c>
      <c r="AC13" s="8"/>
    </row>
    <row r="14" spans="1:29" ht="13.5" thickBot="1" x14ac:dyDescent="0.25">
      <c r="A14" t="s">
        <v>5</v>
      </c>
      <c r="D14" s="85">
        <v>0</v>
      </c>
      <c r="E14" s="8"/>
      <c r="F14" s="7"/>
      <c r="G14" s="85">
        <v>0</v>
      </c>
      <c r="H14" s="8"/>
      <c r="I14" s="7"/>
      <c r="J14" s="85">
        <v>0</v>
      </c>
      <c r="K14" s="8"/>
      <c r="L14" s="7"/>
      <c r="M14" s="85">
        <v>0</v>
      </c>
      <c r="N14" s="8"/>
      <c r="O14" s="7"/>
      <c r="P14" s="6">
        <v>0</v>
      </c>
      <c r="Q14" s="8"/>
      <c r="R14" s="7"/>
      <c r="S14" s="6">
        <v>0</v>
      </c>
      <c r="T14" s="8"/>
      <c r="U14" s="7"/>
      <c r="V14" s="6">
        <v>0</v>
      </c>
      <c r="W14" s="8"/>
      <c r="Y14" s="6">
        <v>0</v>
      </c>
      <c r="Z14" s="8"/>
      <c r="AB14" s="6">
        <v>0</v>
      </c>
      <c r="AC14" s="8"/>
    </row>
    <row r="15" spans="1:29" ht="19.5" customHeight="1" x14ac:dyDescent="0.2">
      <c r="A15" s="3" t="s">
        <v>6</v>
      </c>
      <c r="D15" s="86"/>
      <c r="E15" s="8">
        <f>-SUM(D13:D14)</f>
        <v>0</v>
      </c>
      <c r="F15" s="7"/>
      <c r="G15" s="86"/>
      <c r="H15" s="8">
        <v>0</v>
      </c>
      <c r="I15" s="7"/>
      <c r="J15" s="86"/>
      <c r="K15" s="8">
        <f>-SUM(J13:J14)</f>
        <v>0</v>
      </c>
      <c r="L15" s="7"/>
      <c r="M15" s="86"/>
      <c r="N15" s="8">
        <v>0</v>
      </c>
      <c r="O15" s="7"/>
      <c r="P15" s="7"/>
      <c r="Q15" s="8">
        <f>-SUM(P13:P14)</f>
        <v>0</v>
      </c>
      <c r="R15" s="7"/>
      <c r="S15" s="7"/>
      <c r="T15" s="8">
        <f>-SUM(S13:S14)</f>
        <v>0</v>
      </c>
      <c r="U15" s="7"/>
      <c r="V15" s="7"/>
      <c r="W15" s="8">
        <f>-SUM(V13:V14)</f>
        <v>0</v>
      </c>
      <c r="Y15" s="7"/>
      <c r="Z15" s="8">
        <f>-SUM(Y13:Y14)</f>
        <v>0</v>
      </c>
      <c r="AB15" s="7"/>
      <c r="AC15" s="8">
        <v>0</v>
      </c>
    </row>
    <row r="16" spans="1:29" ht="13.5" thickBot="1" x14ac:dyDescent="0.25">
      <c r="A16" t="s">
        <v>14</v>
      </c>
      <c r="D16" s="44"/>
      <c r="E16" s="19">
        <f>+E15/E11</f>
        <v>0</v>
      </c>
      <c r="F16" s="26"/>
      <c r="G16" s="44"/>
      <c r="H16" s="19">
        <v>0</v>
      </c>
      <c r="I16" s="26"/>
      <c r="J16" s="44"/>
      <c r="K16" s="19">
        <f>+K15/K11</f>
        <v>0</v>
      </c>
      <c r="L16" s="26"/>
      <c r="M16" s="44"/>
      <c r="N16" s="19">
        <v>0</v>
      </c>
      <c r="O16" s="26"/>
      <c r="P16" s="5"/>
      <c r="Q16" s="19">
        <f>+Q15/Q11</f>
        <v>0</v>
      </c>
      <c r="R16" s="26"/>
      <c r="S16" s="5"/>
      <c r="T16" s="19">
        <f>+T15/T11</f>
        <v>0</v>
      </c>
      <c r="U16" s="26"/>
      <c r="W16" s="19">
        <f>+W15/W11</f>
        <v>0</v>
      </c>
      <c r="Y16" s="5"/>
      <c r="Z16" s="19">
        <f>+Z15/Z11</f>
        <v>0</v>
      </c>
      <c r="AB16" s="5"/>
      <c r="AC16" s="19">
        <v>0</v>
      </c>
    </row>
    <row r="17" spans="1:29" ht="19.5" customHeight="1" x14ac:dyDescent="0.2">
      <c r="A17" s="3" t="s">
        <v>8</v>
      </c>
      <c r="D17" s="86"/>
      <c r="E17" s="8">
        <f>+E11+E15</f>
        <v>19920.159999999996</v>
      </c>
      <c r="F17" s="7"/>
      <c r="G17" s="86"/>
      <c r="H17" s="8">
        <v>20440.120000000003</v>
      </c>
      <c r="I17" s="7"/>
      <c r="J17" s="86"/>
      <c r="K17" s="8">
        <f>+K11+K15</f>
        <v>18467.02</v>
      </c>
      <c r="L17" s="7"/>
      <c r="M17" s="86"/>
      <c r="N17" s="8">
        <v>21717.11</v>
      </c>
      <c r="O17" s="7"/>
      <c r="P17" s="7"/>
      <c r="Q17" s="8">
        <f>+Q11+Q15</f>
        <v>7683</v>
      </c>
      <c r="R17" s="7"/>
      <c r="S17" s="7"/>
      <c r="T17" s="8">
        <f>+T11+T15</f>
        <v>7612</v>
      </c>
      <c r="U17" s="7"/>
      <c r="V17" s="7"/>
      <c r="W17" s="8">
        <f>+W11+W15</f>
        <v>7562</v>
      </c>
      <c r="Y17" s="7"/>
      <c r="Z17" s="8">
        <f>+Z11+Z15</f>
        <v>7600</v>
      </c>
      <c r="AB17" s="7"/>
      <c r="AC17" s="8">
        <v>7586.56</v>
      </c>
    </row>
    <row r="18" spans="1:29" ht="13.5" thickBot="1" x14ac:dyDescent="0.25">
      <c r="A18" t="s">
        <v>7</v>
      </c>
      <c r="D18" s="44"/>
      <c r="E18" s="16">
        <v>0</v>
      </c>
      <c r="F18" s="7"/>
      <c r="G18" s="44"/>
      <c r="H18" s="16">
        <v>0</v>
      </c>
      <c r="I18" s="7"/>
      <c r="J18" s="44"/>
      <c r="K18" s="16">
        <v>0</v>
      </c>
      <c r="L18" s="7"/>
      <c r="M18" s="44"/>
      <c r="N18" s="16">
        <v>0</v>
      </c>
      <c r="O18" s="7"/>
      <c r="P18" s="5"/>
      <c r="Q18" s="16">
        <v>0</v>
      </c>
      <c r="R18" s="7"/>
      <c r="S18" s="5"/>
      <c r="T18" s="16">
        <v>0</v>
      </c>
      <c r="U18" s="7"/>
      <c r="W18" s="16">
        <v>0</v>
      </c>
      <c r="Y18" s="5"/>
      <c r="Z18" s="16">
        <v>0</v>
      </c>
      <c r="AB18" s="5"/>
      <c r="AC18" s="16">
        <v>0</v>
      </c>
    </row>
    <row r="19" spans="1:29" ht="19.5" customHeight="1" x14ac:dyDescent="0.2">
      <c r="A19" s="3" t="s">
        <v>9</v>
      </c>
      <c r="D19" s="86"/>
      <c r="E19" s="8">
        <f>+E18+E17</f>
        <v>19920.159999999996</v>
      </c>
      <c r="F19" s="7"/>
      <c r="G19" s="86"/>
      <c r="H19" s="8">
        <v>20440.120000000003</v>
      </c>
      <c r="I19" s="7"/>
      <c r="J19" s="86"/>
      <c r="K19" s="8">
        <f>+K18+K17</f>
        <v>18467.02</v>
      </c>
      <c r="L19" s="7"/>
      <c r="M19" s="86"/>
      <c r="N19" s="8">
        <v>21717.11</v>
      </c>
      <c r="O19" s="7"/>
      <c r="P19" s="7"/>
      <c r="Q19" s="8">
        <f>+Q18+Q17</f>
        <v>7683</v>
      </c>
      <c r="R19" s="7"/>
      <c r="S19" s="7"/>
      <c r="T19" s="8">
        <f>+T18+T17</f>
        <v>7612</v>
      </c>
      <c r="U19" s="7"/>
      <c r="V19" s="7"/>
      <c r="W19" s="8">
        <f>+W18+W17</f>
        <v>7562</v>
      </c>
      <c r="Y19" s="7"/>
      <c r="Z19" s="8">
        <f>+Z18+Z17</f>
        <v>7600</v>
      </c>
      <c r="AB19" s="7"/>
      <c r="AC19" s="8">
        <v>7586.56</v>
      </c>
    </row>
    <row r="20" spans="1:29" x14ac:dyDescent="0.2">
      <c r="D20" s="44"/>
      <c r="E20" s="8"/>
      <c r="F20" s="7"/>
      <c r="G20" s="44"/>
      <c r="H20" s="8"/>
      <c r="I20" s="7"/>
      <c r="J20" s="44"/>
      <c r="K20" s="8"/>
      <c r="L20" s="7"/>
      <c r="M20" s="44"/>
      <c r="N20" s="8"/>
      <c r="O20" s="7"/>
      <c r="P20" s="5"/>
      <c r="Q20" s="8"/>
      <c r="R20" s="7"/>
      <c r="S20" s="5"/>
      <c r="T20" s="8"/>
      <c r="U20" s="7"/>
      <c r="W20" s="8"/>
      <c r="Y20" s="5"/>
      <c r="Z20" s="8"/>
      <c r="AB20" s="5"/>
      <c r="AC20" s="8"/>
    </row>
    <row r="21" spans="1:29" ht="15.75" x14ac:dyDescent="0.25">
      <c r="A21" s="2" t="s">
        <v>10</v>
      </c>
      <c r="D21" s="44"/>
      <c r="E21" s="8"/>
      <c r="F21" s="7"/>
      <c r="G21" s="44"/>
      <c r="H21" s="8"/>
      <c r="I21" s="7"/>
      <c r="J21" s="44"/>
      <c r="K21" s="8"/>
      <c r="L21" s="7"/>
      <c r="M21" s="44"/>
      <c r="N21" s="8"/>
      <c r="O21" s="7"/>
      <c r="P21" s="5"/>
      <c r="Q21" s="8"/>
      <c r="R21" s="7"/>
      <c r="S21" s="5"/>
      <c r="T21" s="8"/>
      <c r="U21" s="7"/>
      <c r="W21" s="8"/>
      <c r="Y21" s="5"/>
      <c r="Z21" s="8"/>
      <c r="AB21" s="5"/>
      <c r="AC21" s="8"/>
    </row>
    <row r="22" spans="1:29" x14ac:dyDescent="0.2">
      <c r="A22" s="70" t="s">
        <v>578</v>
      </c>
      <c r="D22" s="44">
        <f>+'kolommenbalans 2018'!O35</f>
        <v>12768.57</v>
      </c>
      <c r="E22" s="8"/>
      <c r="F22" s="7"/>
      <c r="G22" s="44">
        <v>14851.94</v>
      </c>
      <c r="H22" s="8"/>
      <c r="I22" s="7"/>
      <c r="J22" s="44">
        <v>32271.66</v>
      </c>
      <c r="K22" s="8"/>
      <c r="L22" s="7"/>
      <c r="M22" s="44">
        <v>12747.69</v>
      </c>
      <c r="N22" s="8"/>
      <c r="O22" s="7"/>
      <c r="P22" s="5">
        <v>6000</v>
      </c>
      <c r="Q22" s="8"/>
      <c r="R22" s="7"/>
      <c r="S22" s="5">
        <v>0</v>
      </c>
      <c r="T22" s="8"/>
      <c r="U22" s="7"/>
      <c r="V22" s="5">
        <v>0</v>
      </c>
      <c r="W22" s="8"/>
      <c r="Y22" s="5">
        <v>7500</v>
      </c>
      <c r="Z22" s="8"/>
      <c r="AB22" s="5">
        <v>5053.45</v>
      </c>
      <c r="AC22" s="8"/>
    </row>
    <row r="23" spans="1:29" x14ac:dyDescent="0.2">
      <c r="A23" s="70" t="s">
        <v>580</v>
      </c>
      <c r="D23" s="44">
        <f>-'kolommenbalans 2018'!H39</f>
        <v>15000</v>
      </c>
      <c r="E23" s="8"/>
      <c r="F23" s="7"/>
      <c r="G23" s="44"/>
      <c r="H23" s="8"/>
      <c r="I23" s="7"/>
      <c r="J23" s="44"/>
      <c r="K23" s="8"/>
      <c r="L23" s="7"/>
      <c r="M23" s="44"/>
      <c r="N23" s="8"/>
      <c r="O23" s="7"/>
      <c r="P23" s="5"/>
      <c r="Q23" s="8"/>
      <c r="R23" s="7"/>
      <c r="S23" s="5"/>
      <c r="T23" s="8"/>
      <c r="U23" s="7"/>
      <c r="W23" s="8"/>
      <c r="Y23" s="5"/>
      <c r="Z23" s="8"/>
      <c r="AB23" s="5"/>
      <c r="AC23" s="8"/>
    </row>
    <row r="24" spans="1:29" x14ac:dyDescent="0.2">
      <c r="A24" s="70" t="s">
        <v>579</v>
      </c>
      <c r="D24" s="72"/>
      <c r="E24" s="8"/>
      <c r="F24" s="7"/>
      <c r="G24" s="44">
        <v>-3000</v>
      </c>
      <c r="H24" s="8"/>
      <c r="I24" s="7"/>
      <c r="J24" s="44">
        <v>2500</v>
      </c>
      <c r="K24" s="8"/>
      <c r="L24" s="7"/>
      <c r="M24" s="44">
        <v>5500</v>
      </c>
      <c r="N24" s="8"/>
      <c r="O24" s="7"/>
      <c r="P24" s="5"/>
      <c r="Q24" s="8"/>
      <c r="R24" s="7"/>
      <c r="S24" s="5"/>
      <c r="T24" s="8"/>
      <c r="U24" s="7"/>
      <c r="W24" s="8"/>
      <c r="Y24" s="5"/>
      <c r="Z24" s="8"/>
      <c r="AB24" s="5"/>
      <c r="AC24" s="8"/>
    </row>
    <row r="25" spans="1:29" x14ac:dyDescent="0.2">
      <c r="A25" s="99" t="s">
        <v>421</v>
      </c>
      <c r="D25" s="44">
        <v>0</v>
      </c>
      <c r="E25" s="8"/>
      <c r="F25" s="7"/>
      <c r="G25" s="44">
        <v>0</v>
      </c>
      <c r="H25" s="8"/>
      <c r="I25" s="7"/>
      <c r="J25" s="44">
        <v>1021.66</v>
      </c>
      <c r="K25" s="8"/>
      <c r="L25" s="7"/>
      <c r="M25" s="44">
        <v>1252.31</v>
      </c>
      <c r="N25" s="8"/>
      <c r="O25" s="7"/>
      <c r="P25" s="5"/>
      <c r="Q25" s="8"/>
      <c r="R25" s="7"/>
      <c r="S25" s="5"/>
      <c r="T25" s="8"/>
      <c r="U25" s="7"/>
      <c r="W25" s="8"/>
      <c r="Y25" s="5"/>
      <c r="Z25" s="8"/>
      <c r="AB25" s="5"/>
      <c r="AC25" s="8"/>
    </row>
    <row r="26" spans="1:29" ht="13.5" thickBot="1" x14ac:dyDescent="0.25">
      <c r="A26" t="s">
        <v>5</v>
      </c>
      <c r="D26" s="85">
        <f>+'kolommenbalans concept'!N34</f>
        <v>119.92</v>
      </c>
      <c r="E26" s="8"/>
      <c r="F26" s="7"/>
      <c r="G26" s="85">
        <v>173.56</v>
      </c>
      <c r="H26" s="8"/>
      <c r="I26" s="7"/>
      <c r="J26" s="85">
        <v>334.54</v>
      </c>
      <c r="K26" s="8"/>
      <c r="L26" s="7"/>
      <c r="M26" s="85">
        <v>163.28</v>
      </c>
      <c r="N26" s="8"/>
      <c r="O26" s="7"/>
      <c r="P26" s="6">
        <v>112</v>
      </c>
      <c r="Q26" s="8"/>
      <c r="R26" s="7"/>
      <c r="S26" s="6">
        <v>100</v>
      </c>
      <c r="T26" s="8"/>
      <c r="U26" s="7"/>
      <c r="V26" s="9" t="s">
        <v>351</v>
      </c>
      <c r="W26" s="8"/>
      <c r="Y26" s="6">
        <v>100</v>
      </c>
      <c r="Z26" s="8"/>
      <c r="AB26" s="6">
        <v>74.56</v>
      </c>
      <c r="AC26" s="8"/>
    </row>
    <row r="27" spans="1:29" x14ac:dyDescent="0.2">
      <c r="D27" s="44"/>
      <c r="E27" s="8"/>
      <c r="F27" s="7"/>
      <c r="G27" s="44"/>
      <c r="H27" s="8"/>
      <c r="I27" s="7"/>
      <c r="J27" s="44"/>
      <c r="K27" s="8"/>
      <c r="L27" s="7"/>
      <c r="M27" s="44"/>
      <c r="N27" s="8"/>
      <c r="O27" s="7"/>
      <c r="P27" s="5"/>
      <c r="Q27" s="8"/>
      <c r="R27" s="7"/>
      <c r="S27" s="5"/>
      <c r="T27" s="8"/>
      <c r="U27" s="7"/>
      <c r="W27" s="8"/>
      <c r="Y27" s="5"/>
      <c r="Z27" s="8"/>
      <c r="AB27" s="5"/>
      <c r="AC27" s="8"/>
    </row>
    <row r="28" spans="1:29" ht="19.5" customHeight="1" x14ac:dyDescent="0.2">
      <c r="A28" s="3" t="s">
        <v>13</v>
      </c>
      <c r="D28" s="86"/>
      <c r="E28" s="8">
        <f>SUM(D21:D26)</f>
        <v>27888.489999999998</v>
      </c>
      <c r="F28" s="7"/>
      <c r="G28" s="86"/>
      <c r="H28" s="8">
        <v>12025.5</v>
      </c>
      <c r="I28" s="7"/>
      <c r="J28" s="86"/>
      <c r="K28" s="8">
        <f>SUM(J21:J26)</f>
        <v>36127.860000000008</v>
      </c>
      <c r="L28" s="7"/>
      <c r="M28" s="86"/>
      <c r="N28" s="8">
        <v>19663.280000000002</v>
      </c>
      <c r="O28" s="7"/>
      <c r="P28" s="7"/>
      <c r="Q28" s="8">
        <f>SUM(P21:P26)</f>
        <v>6112</v>
      </c>
      <c r="R28" s="7"/>
      <c r="S28" s="7"/>
      <c r="T28" s="8">
        <f>SUM(S21:S26)</f>
        <v>100</v>
      </c>
      <c r="U28" s="7"/>
      <c r="V28" s="7"/>
      <c r="W28" s="8">
        <f>SUM(V21:V26)</f>
        <v>0</v>
      </c>
      <c r="Y28" s="7"/>
      <c r="Z28" s="8">
        <f>+Y26+Y22</f>
        <v>7600</v>
      </c>
      <c r="AB28" s="7"/>
      <c r="AC28" s="8">
        <v>5128.01</v>
      </c>
    </row>
    <row r="29" spans="1:29" x14ac:dyDescent="0.2">
      <c r="D29" s="44"/>
      <c r="E29" s="8"/>
      <c r="F29" s="7"/>
      <c r="G29" s="44"/>
      <c r="H29" s="8"/>
      <c r="I29" s="7"/>
      <c r="J29" s="44"/>
      <c r="K29" s="8"/>
      <c r="L29" s="7"/>
      <c r="M29" s="44"/>
      <c r="N29" s="8"/>
      <c r="O29" s="7"/>
      <c r="P29" s="5"/>
      <c r="Q29" s="8"/>
      <c r="R29" s="7"/>
      <c r="S29" s="5"/>
      <c r="T29" s="8"/>
      <c r="U29" s="7"/>
      <c r="W29" s="8"/>
      <c r="Y29" s="5"/>
      <c r="Z29" s="8"/>
      <c r="AB29" s="5"/>
      <c r="AC29" s="8"/>
    </row>
    <row r="30" spans="1:29" ht="19.5" customHeight="1" x14ac:dyDescent="0.2">
      <c r="A30" s="1" t="s">
        <v>15</v>
      </c>
      <c r="D30" s="86"/>
      <c r="E30" s="8">
        <f>+E19-E28</f>
        <v>-7968.3300000000017</v>
      </c>
      <c r="F30" s="7"/>
      <c r="G30" s="86"/>
      <c r="H30" s="8">
        <v>8414.6200000000026</v>
      </c>
      <c r="I30" s="7"/>
      <c r="J30" s="86"/>
      <c r="K30" s="8">
        <f>+K19-K28</f>
        <v>-17660.840000000007</v>
      </c>
      <c r="L30" s="7"/>
      <c r="M30" s="86"/>
      <c r="N30" s="8">
        <v>2053.8299999999981</v>
      </c>
      <c r="O30" s="7"/>
      <c r="P30" s="7"/>
      <c r="Q30" s="8">
        <f>+Q19-Q28</f>
        <v>1571</v>
      </c>
      <c r="R30" s="7"/>
      <c r="S30" s="7"/>
      <c r="T30" s="8">
        <f>+T19-T28</f>
        <v>7512</v>
      </c>
      <c r="U30" s="7"/>
      <c r="V30" s="7"/>
      <c r="W30" s="8">
        <f>+W19-W28</f>
        <v>7562</v>
      </c>
      <c r="Y30" s="7"/>
      <c r="Z30" s="8">
        <f>+Z19-Z28</f>
        <v>0</v>
      </c>
      <c r="AB30" s="7"/>
      <c r="AC30" s="8">
        <v>2458.5500000000002</v>
      </c>
    </row>
    <row r="31" spans="1:29" x14ac:dyDescent="0.2">
      <c r="D31" s="44"/>
      <c r="E31" s="7"/>
      <c r="F31" s="7"/>
      <c r="G31" s="44"/>
      <c r="H31" s="7"/>
      <c r="I31" s="7"/>
      <c r="J31" s="44"/>
      <c r="K31" s="7"/>
      <c r="L31" s="7"/>
      <c r="M31" s="44"/>
      <c r="N31" s="7"/>
      <c r="O31" s="7"/>
      <c r="P31" s="5"/>
      <c r="Q31" s="7"/>
      <c r="R31" s="7"/>
      <c r="S31" s="5"/>
      <c r="T31" s="7"/>
      <c r="U31" s="7"/>
      <c r="W31" s="7"/>
      <c r="Y31" s="5"/>
      <c r="Z31" s="7"/>
      <c r="AB31" s="5"/>
      <c r="AC31" s="7"/>
    </row>
    <row r="32" spans="1:29" x14ac:dyDescent="0.2">
      <c r="A32" s="20" t="s">
        <v>16</v>
      </c>
      <c r="D32" s="44"/>
      <c r="E32" s="7"/>
      <c r="F32" s="7"/>
      <c r="G32" s="44"/>
      <c r="H32" s="7"/>
      <c r="I32" s="7"/>
      <c r="J32" s="44"/>
      <c r="K32" s="7"/>
      <c r="L32" s="7"/>
      <c r="M32" s="44"/>
      <c r="N32" s="7"/>
      <c r="O32" s="7"/>
      <c r="P32" s="5"/>
      <c r="Q32" s="7"/>
      <c r="R32" s="7"/>
      <c r="S32" s="5"/>
      <c r="T32" s="7"/>
      <c r="U32" s="7"/>
      <c r="W32" s="7"/>
      <c r="Y32" s="5"/>
      <c r="Z32" s="7"/>
      <c r="AB32" s="5"/>
      <c r="AC32" s="7"/>
    </row>
    <row r="33" spans="1:29" x14ac:dyDescent="0.2">
      <c r="A33" t="s">
        <v>17</v>
      </c>
      <c r="D33" s="44">
        <v>0</v>
      </c>
      <c r="E33" s="8"/>
      <c r="F33" s="7"/>
      <c r="G33" s="44">
        <v>0</v>
      </c>
      <c r="H33" s="8"/>
      <c r="I33" s="7"/>
      <c r="J33" s="44">
        <v>0</v>
      </c>
      <c r="K33" s="8"/>
      <c r="L33" s="7"/>
      <c r="M33" s="44">
        <v>0</v>
      </c>
      <c r="N33" s="8"/>
      <c r="O33" s="7"/>
      <c r="P33" s="5">
        <v>0</v>
      </c>
      <c r="Q33" s="8"/>
      <c r="R33" s="7"/>
      <c r="S33" s="5">
        <v>7500</v>
      </c>
      <c r="T33" s="8"/>
      <c r="U33" s="7"/>
      <c r="V33" s="5">
        <v>7500</v>
      </c>
      <c r="W33" s="8"/>
      <c r="Y33" s="5">
        <v>0</v>
      </c>
      <c r="Z33" s="8"/>
      <c r="AB33" s="5">
        <v>2458.5500000000002</v>
      </c>
      <c r="AC33" s="8"/>
    </row>
    <row r="34" spans="1:29" ht="13.5" thickBot="1" x14ac:dyDescent="0.25">
      <c r="A34" t="s">
        <v>28</v>
      </c>
      <c r="D34" s="85">
        <f>+E30</f>
        <v>-7968.3300000000017</v>
      </c>
      <c r="E34" s="8"/>
      <c r="F34" s="7"/>
      <c r="G34" s="85">
        <v>8414.6200000000026</v>
      </c>
      <c r="H34" s="8"/>
      <c r="I34" s="7"/>
      <c r="J34" s="85">
        <v>17660.84</v>
      </c>
      <c r="K34" s="8"/>
      <c r="L34" s="7"/>
      <c r="M34" s="85">
        <v>2053.8299999999981</v>
      </c>
      <c r="N34" s="8"/>
      <c r="O34" s="7"/>
      <c r="P34" s="6">
        <v>1570</v>
      </c>
      <c r="Q34" s="8"/>
      <c r="R34" s="7"/>
      <c r="S34" s="6">
        <v>0</v>
      </c>
      <c r="T34" s="8"/>
      <c r="U34" s="7"/>
      <c r="V34" s="6">
        <v>0</v>
      </c>
      <c r="W34" s="8"/>
      <c r="Y34" s="6">
        <f>+Z30</f>
        <v>0</v>
      </c>
      <c r="Z34" s="8"/>
      <c r="AB34" s="9">
        <v>0</v>
      </c>
      <c r="AC34" s="8"/>
    </row>
    <row r="35" spans="1:29" ht="19.5" customHeight="1" x14ac:dyDescent="0.2">
      <c r="A35" s="3"/>
      <c r="D35" s="86"/>
      <c r="E35" s="8">
        <f>+D33+D34</f>
        <v>-7968.3300000000017</v>
      </c>
      <c r="F35" s="7"/>
      <c r="G35" s="86"/>
      <c r="H35" s="8">
        <v>8414.6200000000026</v>
      </c>
      <c r="I35" s="7"/>
      <c r="J35" s="86"/>
      <c r="K35" s="8">
        <f>+J33+J34</f>
        <v>17660.84</v>
      </c>
      <c r="L35" s="7"/>
      <c r="M35" s="86"/>
      <c r="N35" s="8">
        <v>2053.8299999999981</v>
      </c>
      <c r="O35" s="7"/>
      <c r="P35" s="7"/>
      <c r="Q35" s="8">
        <f>+P33+P34</f>
        <v>1570</v>
      </c>
      <c r="R35" s="7"/>
      <c r="S35" s="7"/>
      <c r="T35" s="8">
        <f>+S33+S34</f>
        <v>7500</v>
      </c>
      <c r="U35" s="7"/>
      <c r="V35" s="7"/>
      <c r="W35" s="8">
        <f>+V33+V34</f>
        <v>7500</v>
      </c>
      <c r="Y35" s="7"/>
      <c r="Z35" s="8">
        <f>+Y34+Y33</f>
        <v>0</v>
      </c>
      <c r="AB35" s="7"/>
      <c r="AC35" s="8">
        <v>2458.5500000000002</v>
      </c>
    </row>
    <row r="36" spans="1:29" ht="19.5" customHeight="1" x14ac:dyDescent="0.2">
      <c r="A36" s="3"/>
      <c r="D36" s="86"/>
      <c r="E36" s="8"/>
      <c r="F36" s="7"/>
      <c r="G36" s="86"/>
      <c r="H36" s="8"/>
      <c r="I36" s="7"/>
      <c r="J36" s="86"/>
      <c r="K36" s="8"/>
      <c r="L36" s="7"/>
      <c r="M36" s="86"/>
      <c r="N36" s="8"/>
      <c r="O36" s="7"/>
      <c r="P36" s="7"/>
      <c r="Q36" s="8"/>
      <c r="R36" s="7"/>
      <c r="S36" s="7"/>
      <c r="T36" s="8"/>
      <c r="U36" s="7"/>
      <c r="V36" s="7"/>
      <c r="W36" s="8"/>
      <c r="Y36" s="7"/>
      <c r="Z36" s="8"/>
      <c r="AB36" s="7"/>
      <c r="AC36" s="8"/>
    </row>
    <row r="37" spans="1:29" ht="19.5" customHeight="1" x14ac:dyDescent="0.2">
      <c r="A37" s="3"/>
      <c r="F37" s="7"/>
      <c r="I37" s="7"/>
      <c r="L37" s="7"/>
      <c r="O37" s="7"/>
      <c r="R37" s="7"/>
      <c r="U37" s="7"/>
      <c r="V37" s="7"/>
      <c r="W37" s="7"/>
    </row>
    <row r="38" spans="1:29" x14ac:dyDescent="0.2">
      <c r="A38" s="20" t="s">
        <v>43</v>
      </c>
      <c r="S38" s="114"/>
    </row>
    <row r="39" spans="1:29" x14ac:dyDescent="0.2">
      <c r="A39" t="s">
        <v>47</v>
      </c>
      <c r="D39" s="95"/>
      <c r="G39" s="95"/>
      <c r="J39" s="95"/>
      <c r="M39" s="96"/>
      <c r="Q39" s="113"/>
    </row>
    <row r="40" spans="1:29" x14ac:dyDescent="0.2">
      <c r="A40" s="76"/>
      <c r="B40" s="70" t="s">
        <v>514</v>
      </c>
      <c r="C40" s="76"/>
      <c r="D40" s="87"/>
      <c r="E40" s="76"/>
      <c r="F40" s="76"/>
      <c r="G40" s="87"/>
      <c r="H40" s="76"/>
      <c r="I40" s="76"/>
      <c r="J40" s="87"/>
      <c r="K40" s="76"/>
      <c r="L40" s="76"/>
      <c r="M40" s="88"/>
      <c r="N40" s="76"/>
      <c r="O40" s="76"/>
      <c r="P40" s="76"/>
      <c r="Q40" s="113">
        <v>7500</v>
      </c>
      <c r="T40" s="76"/>
      <c r="U40" s="76"/>
    </row>
    <row r="41" spans="1:29" x14ac:dyDescent="0.2">
      <c r="A41" s="76"/>
      <c r="B41" s="70" t="s">
        <v>515</v>
      </c>
      <c r="C41" s="76"/>
      <c r="D41" s="87"/>
      <c r="E41" s="76"/>
      <c r="F41" s="76"/>
      <c r="G41" s="87"/>
      <c r="H41" s="76"/>
      <c r="I41" s="76"/>
      <c r="J41" s="87"/>
      <c r="K41" s="76"/>
      <c r="L41" s="76"/>
      <c r="M41" s="88"/>
      <c r="N41" s="76"/>
      <c r="O41" s="76"/>
      <c r="P41" s="76"/>
      <c r="Q41" s="32">
        <v>11216.57</v>
      </c>
      <c r="T41" s="76"/>
      <c r="U41" s="76"/>
    </row>
    <row r="42" spans="1:29" x14ac:dyDescent="0.2">
      <c r="A42" s="76"/>
      <c r="B42" s="99" t="s">
        <v>566</v>
      </c>
      <c r="C42" s="76"/>
      <c r="D42" s="87"/>
      <c r="E42" s="76"/>
      <c r="F42" s="76"/>
      <c r="G42" s="87"/>
      <c r="H42" s="76"/>
      <c r="I42" s="76"/>
      <c r="J42" s="87"/>
      <c r="K42" s="76"/>
      <c r="L42" s="76"/>
      <c r="M42" s="88"/>
      <c r="N42" s="76"/>
      <c r="O42" s="76"/>
      <c r="P42" s="76"/>
      <c r="Q42" s="115">
        <f>+'kolommenbalans 2018'!B63+'kolommenbalans 2018'!B64</f>
        <v>1080</v>
      </c>
      <c r="T42" s="76"/>
      <c r="U42" s="76"/>
    </row>
    <row r="43" spans="1:29" x14ac:dyDescent="0.2">
      <c r="A43" s="76"/>
      <c r="B43" s="76"/>
      <c r="C43" s="76"/>
      <c r="D43" s="87"/>
      <c r="E43" s="76"/>
      <c r="F43" s="76"/>
      <c r="G43" s="87"/>
      <c r="H43" s="76"/>
      <c r="I43" s="76"/>
      <c r="J43" s="87"/>
      <c r="K43" s="76"/>
      <c r="L43" s="76"/>
      <c r="M43" s="88"/>
      <c r="N43" s="76"/>
      <c r="O43" s="76"/>
      <c r="P43" s="76"/>
      <c r="Q43" s="113">
        <f>+Q42+Q41+Q40</f>
        <v>19796.57</v>
      </c>
      <c r="T43" s="76"/>
      <c r="U43" s="76"/>
    </row>
    <row r="44" spans="1:29" x14ac:dyDescent="0.2">
      <c r="A44" s="70" t="s">
        <v>414</v>
      </c>
      <c r="B44" s="76"/>
      <c r="C44" s="76"/>
      <c r="D44" s="87"/>
      <c r="E44" s="76"/>
      <c r="F44" s="76"/>
      <c r="G44" s="87"/>
      <c r="H44" s="76"/>
      <c r="I44" s="76"/>
      <c r="J44" s="87"/>
      <c r="K44" s="76"/>
      <c r="L44" s="76"/>
      <c r="M44" s="88"/>
      <c r="N44" s="76"/>
      <c r="O44" s="76"/>
      <c r="P44" s="76"/>
      <c r="Q44" s="113"/>
      <c r="T44" s="76"/>
      <c r="U44" s="76"/>
    </row>
    <row r="45" spans="1:29" x14ac:dyDescent="0.2">
      <c r="B45" s="70" t="s">
        <v>107</v>
      </c>
      <c r="C45" s="76"/>
      <c r="D45" s="87"/>
      <c r="E45" s="76"/>
      <c r="F45" s="76"/>
      <c r="G45" s="87"/>
      <c r="H45" s="76"/>
      <c r="I45" s="76"/>
      <c r="J45" s="87"/>
      <c r="K45" s="76"/>
      <c r="L45" s="76"/>
      <c r="M45" s="88"/>
      <c r="N45" s="76"/>
      <c r="O45" s="76"/>
      <c r="P45" s="76"/>
      <c r="Q45" s="76"/>
      <c r="R45" s="76"/>
      <c r="S45" s="114"/>
      <c r="T45" s="76"/>
      <c r="U45" s="76"/>
    </row>
    <row r="46" spans="1:29" x14ac:dyDescent="0.2">
      <c r="A46" s="76"/>
      <c r="B46" s="70" t="s">
        <v>516</v>
      </c>
      <c r="C46" s="76"/>
      <c r="D46" s="72">
        <f>-'kolommenbalans 2018'!N38</f>
        <v>119.92</v>
      </c>
      <c r="E46" s="76"/>
      <c r="F46" s="76"/>
      <c r="H46" s="76"/>
      <c r="I46" s="76"/>
      <c r="J46" s="87"/>
      <c r="K46" s="76"/>
      <c r="L46" s="76"/>
      <c r="M46" s="88"/>
      <c r="N46" s="76"/>
      <c r="O46" s="76"/>
      <c r="P46" s="76"/>
      <c r="Q46" s="76"/>
      <c r="R46" s="76"/>
      <c r="S46" s="76"/>
      <c r="T46" s="76"/>
      <c r="U46" s="76"/>
    </row>
    <row r="47" spans="1:29" x14ac:dyDescent="0.2">
      <c r="A47" s="76"/>
      <c r="B47" s="76"/>
      <c r="C47" s="76"/>
      <c r="D47" s="87"/>
      <c r="E47" s="76"/>
      <c r="F47" s="76"/>
      <c r="G47" s="87"/>
      <c r="H47" s="76"/>
      <c r="I47" s="76"/>
      <c r="J47" s="87"/>
      <c r="K47" s="76"/>
      <c r="L47" s="76"/>
      <c r="M47" s="88"/>
      <c r="N47" s="76"/>
      <c r="O47" s="76"/>
      <c r="P47" s="76"/>
      <c r="Q47" s="76"/>
      <c r="R47" s="76"/>
      <c r="S47" s="76"/>
      <c r="T47" s="76"/>
      <c r="U47" s="76"/>
    </row>
    <row r="48" spans="1:29" x14ac:dyDescent="0.2">
      <c r="A48" s="70" t="s">
        <v>46</v>
      </c>
      <c r="B48" s="70"/>
      <c r="C48" s="70"/>
      <c r="D48" s="87"/>
      <c r="E48" s="76"/>
      <c r="F48" s="76"/>
      <c r="G48" s="87"/>
      <c r="H48" s="76"/>
      <c r="I48" s="76"/>
      <c r="J48" s="87"/>
      <c r="K48" s="76"/>
      <c r="L48" s="76"/>
      <c r="M48" s="88"/>
      <c r="N48" s="76"/>
      <c r="O48" s="76"/>
      <c r="P48" s="76"/>
      <c r="Q48" s="76"/>
      <c r="R48" s="76"/>
      <c r="S48" s="76"/>
      <c r="T48" s="76"/>
      <c r="U48" s="76"/>
      <c r="Y48" s="5"/>
      <c r="AB48" s="5"/>
    </row>
    <row r="49" spans="1:29" ht="27" customHeight="1" x14ac:dyDescent="0.2">
      <c r="A49" s="70"/>
      <c r="B49" s="255" t="s">
        <v>567</v>
      </c>
      <c r="C49" s="256"/>
      <c r="D49" s="256"/>
      <c r="E49" s="256"/>
      <c r="F49" s="256"/>
      <c r="G49" s="256"/>
      <c r="H49" s="256"/>
      <c r="I49" s="256"/>
      <c r="J49" s="256"/>
      <c r="K49" s="256"/>
      <c r="L49" s="256"/>
      <c r="M49" s="256"/>
      <c r="N49" s="256"/>
      <c r="O49" s="256"/>
      <c r="P49" s="256"/>
      <c r="Q49" s="256"/>
      <c r="R49" s="256"/>
      <c r="S49" s="76"/>
      <c r="T49" s="76"/>
      <c r="U49" s="76"/>
      <c r="Y49" s="5"/>
      <c r="Z49" s="44"/>
      <c r="AB49" s="5"/>
      <c r="AC49" s="44"/>
    </row>
    <row r="50" spans="1:29" ht="38.25" customHeight="1" x14ac:dyDescent="0.2">
      <c r="A50" s="70"/>
      <c r="B50" s="255" t="s">
        <v>568</v>
      </c>
      <c r="C50" s="256"/>
      <c r="D50" s="256"/>
      <c r="E50" s="256"/>
      <c r="F50" s="256"/>
      <c r="G50" s="256"/>
      <c r="H50" s="256"/>
      <c r="I50" s="256"/>
      <c r="J50" s="256"/>
      <c r="K50" s="256"/>
      <c r="L50" s="256"/>
      <c r="M50" s="256"/>
      <c r="N50" s="256"/>
      <c r="O50" s="256"/>
      <c r="P50" s="256"/>
      <c r="Q50" s="256"/>
      <c r="R50" s="256"/>
      <c r="S50" s="98"/>
      <c r="T50" s="98"/>
      <c r="U50" s="76"/>
      <c r="Y50" s="5"/>
      <c r="Z50" s="44"/>
      <c r="AB50" s="5"/>
      <c r="AC50" s="44"/>
    </row>
    <row r="51" spans="1:29" ht="65.25" customHeight="1" x14ac:dyDescent="0.2">
      <c r="A51" s="70"/>
      <c r="B51" s="255" t="s">
        <v>569</v>
      </c>
      <c r="C51" s="255"/>
      <c r="D51" s="255"/>
      <c r="E51" s="255"/>
      <c r="F51" s="255"/>
      <c r="G51" s="255"/>
      <c r="H51" s="255"/>
      <c r="I51" s="255"/>
      <c r="J51" s="255"/>
      <c r="K51" s="255"/>
      <c r="L51" s="255"/>
      <c r="M51" s="255"/>
      <c r="N51" s="255"/>
      <c r="O51" s="255"/>
      <c r="P51" s="255"/>
      <c r="Q51" s="255"/>
      <c r="R51" s="255"/>
      <c r="S51" s="76"/>
      <c r="T51" s="76"/>
      <c r="U51" s="76"/>
      <c r="Y51" s="5"/>
      <c r="Z51" s="44"/>
      <c r="AB51" s="5"/>
      <c r="AC51" s="44"/>
    </row>
    <row r="52" spans="1:29" ht="26.1" customHeight="1" x14ac:dyDescent="0.2">
      <c r="A52" s="70"/>
      <c r="B52" s="255" t="s">
        <v>570</v>
      </c>
      <c r="C52" s="255"/>
      <c r="D52" s="255"/>
      <c r="E52" s="255"/>
      <c r="F52" s="255"/>
      <c r="G52" s="255"/>
      <c r="H52" s="255"/>
      <c r="I52" s="255"/>
      <c r="J52" s="255"/>
      <c r="K52" s="255"/>
      <c r="L52" s="255"/>
      <c r="M52" s="255"/>
      <c r="N52" s="255"/>
      <c r="O52" s="255"/>
      <c r="P52" s="255"/>
      <c r="Q52" s="255"/>
      <c r="R52" s="255"/>
      <c r="S52" s="98"/>
      <c r="T52" s="98"/>
      <c r="U52" s="76"/>
      <c r="Y52" s="5"/>
      <c r="Z52" s="44"/>
      <c r="AB52" s="5"/>
      <c r="AC52" s="44"/>
    </row>
    <row r="53" spans="1:29" ht="39" customHeight="1" x14ac:dyDescent="0.2">
      <c r="A53" s="70"/>
      <c r="B53" s="255" t="s">
        <v>571</v>
      </c>
      <c r="C53" s="256"/>
      <c r="D53" s="256"/>
      <c r="E53" s="256"/>
      <c r="F53" s="256"/>
      <c r="G53" s="256"/>
      <c r="H53" s="256"/>
      <c r="I53" s="256"/>
      <c r="J53" s="256"/>
      <c r="K53" s="256"/>
      <c r="L53" s="256"/>
      <c r="M53" s="256"/>
      <c r="N53" s="256"/>
      <c r="O53" s="256"/>
      <c r="P53" s="256"/>
      <c r="Q53" s="256"/>
      <c r="R53" s="256"/>
      <c r="S53" s="98"/>
      <c r="T53" s="98"/>
      <c r="U53" s="76"/>
      <c r="Y53" s="5"/>
      <c r="Z53" s="44"/>
      <c r="AB53" s="5"/>
      <c r="AC53" s="44"/>
    </row>
    <row r="54" spans="1:29" ht="24.75" customHeight="1" x14ac:dyDescent="0.2">
      <c r="A54" s="137"/>
      <c r="B54" s="256" t="s">
        <v>572</v>
      </c>
      <c r="C54" s="238"/>
      <c r="D54" s="238"/>
      <c r="E54" s="238"/>
      <c r="F54" s="238"/>
      <c r="G54" s="238"/>
      <c r="H54" s="238"/>
      <c r="I54" s="238"/>
      <c r="J54" s="238"/>
      <c r="K54" s="238"/>
      <c r="L54" s="238"/>
      <c r="M54" s="238"/>
      <c r="N54" s="238"/>
      <c r="O54" s="238"/>
      <c r="P54" s="238"/>
      <c r="Q54" s="238"/>
      <c r="R54" s="138"/>
      <c r="S54" s="98"/>
      <c r="T54" s="98"/>
      <c r="U54" s="76"/>
      <c r="Y54" s="5"/>
      <c r="Z54" s="44"/>
      <c r="AB54" s="5"/>
      <c r="AC54" s="44"/>
    </row>
    <row r="55" spans="1:29" x14ac:dyDescent="0.2">
      <c r="E55" s="76"/>
      <c r="F55" s="76"/>
      <c r="G55" s="72"/>
      <c r="H55" s="76"/>
      <c r="I55" s="76"/>
      <c r="J55" s="87"/>
      <c r="K55" s="76"/>
      <c r="L55" s="76"/>
      <c r="M55" s="88"/>
      <c r="N55" s="76"/>
      <c r="O55" s="76"/>
      <c r="P55" s="76"/>
      <c r="Q55" s="76"/>
      <c r="R55" s="76"/>
      <c r="S55" s="76"/>
      <c r="T55" s="76"/>
      <c r="U55" s="76"/>
      <c r="Y55" s="5"/>
      <c r="Z55" s="44"/>
      <c r="AB55" s="5"/>
      <c r="AC55" s="44"/>
    </row>
    <row r="56" spans="1:29" x14ac:dyDescent="0.2">
      <c r="A56" s="114" t="s">
        <v>489</v>
      </c>
      <c r="E56" s="76"/>
      <c r="F56" s="76"/>
      <c r="G56" s="72"/>
      <c r="H56" s="76"/>
      <c r="I56" s="76"/>
      <c r="J56" s="87"/>
      <c r="K56" s="76"/>
      <c r="L56" s="76"/>
      <c r="M56" s="88"/>
      <c r="N56" s="76"/>
      <c r="O56" s="76"/>
      <c r="P56" s="76"/>
      <c r="Q56" s="76"/>
      <c r="R56" s="76"/>
      <c r="S56" s="76"/>
      <c r="T56" s="76"/>
      <c r="U56" s="76"/>
      <c r="Y56" s="5"/>
      <c r="Z56" s="44"/>
      <c r="AB56" s="5"/>
      <c r="AC56" s="44"/>
    </row>
    <row r="57" spans="1:29" x14ac:dyDescent="0.2">
      <c r="A57" s="101"/>
      <c r="B57" s="70" t="s">
        <v>573</v>
      </c>
      <c r="D57" s="72">
        <f>-'kolommenbalans 2018'!H5</f>
        <v>10590</v>
      </c>
      <c r="E57" s="76"/>
      <c r="F57" s="76"/>
      <c r="G57" s="72"/>
      <c r="H57" s="76"/>
      <c r="I57" s="76"/>
      <c r="J57" s="87"/>
      <c r="K57" s="76"/>
      <c r="L57" s="76"/>
      <c r="M57" s="88"/>
      <c r="N57" s="76"/>
      <c r="O57" s="76"/>
      <c r="P57" s="76"/>
      <c r="Q57" s="76"/>
      <c r="R57" s="76"/>
      <c r="S57" s="76"/>
      <c r="T57" s="76"/>
      <c r="U57" s="76"/>
      <c r="Y57" s="5"/>
      <c r="Z57" s="44"/>
      <c r="AB57" s="5"/>
      <c r="AC57" s="44"/>
    </row>
    <row r="58" spans="1:29" x14ac:dyDescent="0.2">
      <c r="A58" s="101"/>
      <c r="B58" s="70" t="s">
        <v>574</v>
      </c>
      <c r="D58" s="72"/>
      <c r="E58" s="76"/>
      <c r="F58" s="76"/>
      <c r="G58" s="72"/>
      <c r="H58" s="76"/>
      <c r="I58" s="76"/>
      <c r="J58" s="87"/>
      <c r="K58" s="76"/>
      <c r="L58" s="76"/>
      <c r="M58" s="88"/>
      <c r="N58" s="76"/>
      <c r="O58" s="76"/>
      <c r="P58" s="76"/>
      <c r="Q58" s="76"/>
      <c r="R58" s="76"/>
      <c r="S58" s="76"/>
      <c r="T58" s="76"/>
      <c r="U58" s="76"/>
      <c r="Y58" s="5"/>
      <c r="Z58" s="44"/>
      <c r="AB58" s="5"/>
      <c r="AC58" s="44"/>
    </row>
    <row r="59" spans="1:29" x14ac:dyDescent="0.2">
      <c r="A59" s="101"/>
      <c r="C59" s="70" t="s">
        <v>476</v>
      </c>
      <c r="D59" s="72">
        <v>-960</v>
      </c>
      <c r="E59" s="76"/>
      <c r="F59" s="76"/>
      <c r="G59" s="72"/>
      <c r="H59" s="76"/>
      <c r="I59" s="76"/>
      <c r="J59" s="87"/>
      <c r="K59" s="76"/>
      <c r="L59" s="76"/>
      <c r="M59" s="88"/>
      <c r="N59" s="76"/>
      <c r="O59" s="76"/>
      <c r="P59" s="76"/>
      <c r="Q59" s="76"/>
      <c r="R59" s="76"/>
      <c r="S59" s="76"/>
      <c r="T59" s="76"/>
      <c r="U59" s="76"/>
      <c r="Y59" s="5"/>
      <c r="Z59" s="44"/>
      <c r="AB59" s="5"/>
      <c r="AC59" s="44"/>
    </row>
    <row r="60" spans="1:29" s="5" customFormat="1" x14ac:dyDescent="0.2">
      <c r="A60" s="101"/>
      <c r="B60"/>
      <c r="C60" s="70" t="s">
        <v>575</v>
      </c>
      <c r="D60" s="32">
        <v>-2500</v>
      </c>
      <c r="E60" s="76"/>
      <c r="F60" s="76"/>
      <c r="G60" s="72"/>
      <c r="H60" s="76"/>
      <c r="I60" s="76"/>
      <c r="J60" s="87"/>
      <c r="K60" s="76"/>
      <c r="L60" s="76"/>
      <c r="M60" s="88"/>
      <c r="N60" s="76"/>
      <c r="O60" s="76"/>
      <c r="P60" s="76"/>
      <c r="Q60" s="76"/>
      <c r="R60" s="76"/>
      <c r="S60" s="76"/>
      <c r="T60" s="76"/>
      <c r="U60" s="76"/>
      <c r="W60"/>
      <c r="X60"/>
      <c r="Z60" s="44"/>
      <c r="AA60"/>
      <c r="AC60" s="44"/>
    </row>
    <row r="61" spans="1:29" s="5" customFormat="1" x14ac:dyDescent="0.2">
      <c r="A61" s="76"/>
      <c r="B61" s="70"/>
      <c r="C61" s="70" t="s">
        <v>559</v>
      </c>
      <c r="D61" s="32">
        <v>-4250</v>
      </c>
      <c r="E61"/>
      <c r="F61"/>
      <c r="G61" s="72"/>
      <c r="H61"/>
      <c r="I61"/>
      <c r="J61" s="32"/>
      <c r="K61"/>
      <c r="L61"/>
      <c r="M61" s="4"/>
      <c r="N61"/>
      <c r="O61"/>
      <c r="P61"/>
      <c r="Q61"/>
      <c r="R61"/>
      <c r="S61"/>
      <c r="T61"/>
      <c r="U61"/>
      <c r="W61"/>
      <c r="X61"/>
      <c r="Y61" s="23"/>
      <c r="Z61" s="44"/>
      <c r="AA61"/>
      <c r="AB61" s="23"/>
      <c r="AC61" s="44"/>
    </row>
    <row r="62" spans="1:29" x14ac:dyDescent="0.2">
      <c r="B62" s="70" t="s">
        <v>576</v>
      </c>
      <c r="C62" s="100"/>
      <c r="D62" s="72"/>
      <c r="G62" s="72"/>
    </row>
    <row r="63" spans="1:29" x14ac:dyDescent="0.2">
      <c r="B63" s="70"/>
      <c r="C63" s="70" t="s">
        <v>560</v>
      </c>
      <c r="D63" s="32">
        <v>4000</v>
      </c>
    </row>
    <row r="64" spans="1:29" x14ac:dyDescent="0.2">
      <c r="B64" s="70"/>
      <c r="C64" s="70" t="s">
        <v>561</v>
      </c>
      <c r="D64" s="32">
        <v>4000</v>
      </c>
    </row>
    <row r="65" spans="1:4" x14ac:dyDescent="0.2">
      <c r="B65" s="70"/>
      <c r="C65" s="70" t="s">
        <v>562</v>
      </c>
      <c r="D65" s="32">
        <v>5000</v>
      </c>
    </row>
    <row r="66" spans="1:4" x14ac:dyDescent="0.2">
      <c r="B66" s="70"/>
      <c r="C66" s="70" t="s">
        <v>563</v>
      </c>
      <c r="D66" s="136">
        <v>2000</v>
      </c>
    </row>
    <row r="67" spans="1:4" x14ac:dyDescent="0.2">
      <c r="B67" s="101" t="s">
        <v>577</v>
      </c>
      <c r="D67" s="72">
        <f>SUM(D57:D66)</f>
        <v>17880</v>
      </c>
    </row>
    <row r="72" spans="1:4" x14ac:dyDescent="0.2">
      <c r="A72" s="21"/>
    </row>
  </sheetData>
  <mergeCells count="24">
    <mergeCell ref="B51:R51"/>
    <mergeCell ref="B54:Q54"/>
    <mergeCell ref="D3:E3"/>
    <mergeCell ref="G3:H3"/>
    <mergeCell ref="J3:K3"/>
    <mergeCell ref="M3:N3"/>
    <mergeCell ref="P3:Q3"/>
    <mergeCell ref="B49:R49"/>
    <mergeCell ref="B50:R50"/>
    <mergeCell ref="B52:R52"/>
    <mergeCell ref="B53:R53"/>
    <mergeCell ref="AB3:AC3"/>
    <mergeCell ref="AB4:AC4"/>
    <mergeCell ref="V3:W3"/>
    <mergeCell ref="Y3:Z3"/>
    <mergeCell ref="D4:E4"/>
    <mergeCell ref="G4:H4"/>
    <mergeCell ref="J4:K4"/>
    <mergeCell ref="M4:N4"/>
    <mergeCell ref="P4:Q4"/>
    <mergeCell ref="S4:T4"/>
    <mergeCell ref="V4:W4"/>
    <mergeCell ref="Y4:Z4"/>
    <mergeCell ref="S3:T3"/>
  </mergeCells>
  <pageMargins left="0.74803149606299213" right="0.74803149606299213" top="0.98425196850393704" bottom="0.78740157480314965" header="0.51181102362204722" footer="0.51181102362204722"/>
  <pageSetup scale="62" orientation="portrait" r:id="rId1"/>
  <headerFooter alignWithMargins="0">
    <oddFooter>&amp;L&amp;F, &amp;A&amp;R&amp;D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65"/>
  <sheetViews>
    <sheetView topLeftCell="A12" workbookViewId="0">
      <selection activeCell="O53" sqref="O53"/>
    </sheetView>
  </sheetViews>
  <sheetFormatPr defaultColWidth="8.85546875" defaultRowHeight="12.75" x14ac:dyDescent="0.2"/>
  <cols>
    <col min="1" max="1" width="29.28515625" customWidth="1"/>
    <col min="2" max="3" width="10.28515625" customWidth="1"/>
    <col min="4" max="4" width="10.28515625" bestFit="1" customWidth="1"/>
    <col min="5" max="5" width="9.28515625" style="32" customWidth="1"/>
    <col min="6" max="6" width="7.7109375" bestFit="1" customWidth="1"/>
    <col min="7" max="8" width="10.28515625" customWidth="1"/>
    <col min="9" max="9" width="7.7109375" hidden="1" customWidth="1"/>
    <col min="10" max="10" width="1" style="84" customWidth="1"/>
    <col min="11" max="11" width="10.28515625" customWidth="1"/>
    <col min="12" max="12" width="6.7109375" bestFit="1" customWidth="1"/>
    <col min="13" max="13" width="1.140625" style="84" customWidth="1"/>
    <col min="14" max="14" width="7.7109375" customWidth="1"/>
    <col min="15" max="15" width="10.28515625" style="32" customWidth="1"/>
    <col min="16" max="16" width="10.28515625" bestFit="1" customWidth="1"/>
    <col min="17" max="17" width="10.28515625" customWidth="1"/>
    <col min="18" max="18" width="6.85546875" bestFit="1" customWidth="1"/>
  </cols>
  <sheetData>
    <row r="1" spans="1:18" ht="15.75" x14ac:dyDescent="0.25">
      <c r="A1" s="42" t="s">
        <v>512</v>
      </c>
    </row>
    <row r="2" spans="1:18" ht="12" customHeight="1" x14ac:dyDescent="0.2"/>
    <row r="3" spans="1:18" s="12" customFormat="1" ht="132.75" customHeight="1" x14ac:dyDescent="0.2">
      <c r="B3" s="69" t="s">
        <v>291</v>
      </c>
      <c r="C3" s="69" t="s">
        <v>292</v>
      </c>
      <c r="D3" s="90" t="s">
        <v>372</v>
      </c>
      <c r="E3" s="119" t="s">
        <v>459</v>
      </c>
      <c r="F3" s="90" t="s">
        <v>467</v>
      </c>
      <c r="G3" s="69" t="s">
        <v>186</v>
      </c>
      <c r="H3" s="69" t="s">
        <v>202</v>
      </c>
      <c r="I3" s="69" t="s">
        <v>484</v>
      </c>
      <c r="J3" s="102"/>
      <c r="K3" s="69" t="s">
        <v>392</v>
      </c>
      <c r="L3" s="69" t="s">
        <v>302</v>
      </c>
      <c r="M3" s="102"/>
      <c r="N3" s="69" t="s">
        <v>190</v>
      </c>
      <c r="O3" s="118" t="s">
        <v>324</v>
      </c>
      <c r="P3" s="90" t="s">
        <v>447</v>
      </c>
    </row>
    <row r="5" spans="1:18" s="20" customFormat="1" x14ac:dyDescent="0.2">
      <c r="A5" s="20" t="s">
        <v>191</v>
      </c>
      <c r="B5" s="39">
        <f>+'kolommenbalans 2017'!B39</f>
        <v>7668.9999999999964</v>
      </c>
      <c r="C5" s="39">
        <f>+'kolommenbalans 2017'!C39</f>
        <v>13671.339999999998</v>
      </c>
      <c r="D5" s="39">
        <f>+'kolommenbalans 2017'!E39</f>
        <v>173.56</v>
      </c>
      <c r="E5" s="39">
        <f>+'kolommenbalans 2017'!F39</f>
        <v>1000</v>
      </c>
      <c r="F5" s="39">
        <f>+'kolommenbalans 2017'!G39</f>
        <v>721.29</v>
      </c>
      <c r="G5" s="39">
        <f>+'kolommenbalans 2017'!H39</f>
        <v>-12645.190000000004</v>
      </c>
      <c r="H5" s="39">
        <f>+'kolommenbalans 2017'!I39</f>
        <v>-10590</v>
      </c>
      <c r="I5" s="39">
        <f>+'kolommenbalans 2017'!J39</f>
        <v>0</v>
      </c>
      <c r="J5" s="83"/>
      <c r="K5" s="39"/>
      <c r="L5" s="39"/>
      <c r="M5" s="83"/>
      <c r="N5" s="39">
        <f>+'kolommenbalans 2014'!K29</f>
        <v>0</v>
      </c>
      <c r="O5" s="39"/>
      <c r="P5" s="39"/>
      <c r="Q5" s="39">
        <f>SUM(B5:N5)</f>
        <v>-5.4569682106375694E-12</v>
      </c>
      <c r="R5" s="39">
        <f>SUM(L5:N5)</f>
        <v>0</v>
      </c>
    </row>
    <row r="6" spans="1:18" x14ac:dyDescent="0.2">
      <c r="A6" s="117">
        <v>43102</v>
      </c>
      <c r="B6" s="32">
        <f>-H6</f>
        <v>-80</v>
      </c>
      <c r="C6" s="32"/>
      <c r="D6" s="32"/>
      <c r="F6" s="32"/>
      <c r="G6" s="32"/>
      <c r="H6" s="32">
        <v>80</v>
      </c>
      <c r="I6" s="32"/>
      <c r="J6" s="132"/>
      <c r="K6" s="32"/>
      <c r="L6" s="32"/>
      <c r="M6" s="132"/>
      <c r="N6" s="32"/>
      <c r="P6" s="32"/>
      <c r="Q6" s="39">
        <f>SUM(B6:P6)</f>
        <v>0</v>
      </c>
      <c r="R6" s="32"/>
    </row>
    <row r="7" spans="1:18" x14ac:dyDescent="0.2">
      <c r="A7" s="117">
        <v>43104</v>
      </c>
      <c r="B7" s="32">
        <f t="shared" ref="B7:B17" si="0">-N7-H7</f>
        <v>-2500</v>
      </c>
      <c r="C7" s="32"/>
      <c r="G7" s="32"/>
      <c r="H7" s="32">
        <v>2500</v>
      </c>
      <c r="I7" s="32"/>
      <c r="J7" s="132"/>
      <c r="K7" s="32"/>
      <c r="N7" s="32"/>
      <c r="P7" s="32"/>
      <c r="Q7" s="39">
        <f>SUM(B7:P7)</f>
        <v>0</v>
      </c>
      <c r="R7" s="32"/>
    </row>
    <row r="8" spans="1:18" x14ac:dyDescent="0.2">
      <c r="A8" s="117">
        <v>43122</v>
      </c>
      <c r="B8" s="32">
        <f>-N8-D8</f>
        <v>173.56</v>
      </c>
      <c r="C8" s="32"/>
      <c r="D8" s="32">
        <v>-173.56</v>
      </c>
      <c r="F8" s="32"/>
      <c r="G8" s="32"/>
      <c r="H8" s="32"/>
      <c r="I8" s="32"/>
      <c r="J8" s="132"/>
      <c r="K8" s="32"/>
      <c r="L8" s="32"/>
      <c r="M8" s="132"/>
      <c r="N8" s="32"/>
      <c r="P8" s="32"/>
      <c r="Q8" s="39">
        <f>SUM(B8:P8)</f>
        <v>0</v>
      </c>
      <c r="R8" s="32"/>
    </row>
    <row r="9" spans="1:18" x14ac:dyDescent="0.2">
      <c r="A9" s="117">
        <v>43122</v>
      </c>
      <c r="B9" s="32">
        <f>-N9-E9</f>
        <v>1000</v>
      </c>
      <c r="C9" s="32"/>
      <c r="E9" s="32">
        <v>-1000</v>
      </c>
      <c r="G9" s="32"/>
      <c r="H9" s="32"/>
      <c r="I9" s="32"/>
      <c r="J9" s="132"/>
      <c r="K9" s="32"/>
      <c r="N9" s="32"/>
      <c r="Q9" s="39">
        <f>SUM(B9:P9)</f>
        <v>0</v>
      </c>
      <c r="R9" s="32"/>
    </row>
    <row r="10" spans="1:18" x14ac:dyDescent="0.2">
      <c r="A10" s="117">
        <v>43122</v>
      </c>
      <c r="B10" s="32">
        <f>-N10-F10</f>
        <v>721.29</v>
      </c>
      <c r="C10" s="32"/>
      <c r="F10">
        <v>-721.29</v>
      </c>
      <c r="G10" s="32"/>
      <c r="H10" s="32"/>
      <c r="I10" s="32"/>
      <c r="J10" s="132"/>
      <c r="K10" s="32"/>
      <c r="N10" s="32"/>
      <c r="Q10" s="39"/>
      <c r="R10" s="32"/>
    </row>
    <row r="11" spans="1:18" x14ac:dyDescent="0.2">
      <c r="A11" s="117">
        <v>43126</v>
      </c>
      <c r="B11" s="32">
        <f t="shared" si="0"/>
        <v>-28.76</v>
      </c>
      <c r="C11" s="32"/>
      <c r="D11" s="32"/>
      <c r="F11" s="32"/>
      <c r="G11" s="32"/>
      <c r="H11" s="32"/>
      <c r="I11" s="32"/>
      <c r="J11" s="132"/>
      <c r="K11" s="32"/>
      <c r="L11" s="32"/>
      <c r="M11" s="132"/>
      <c r="N11" s="32">
        <v>28.76</v>
      </c>
      <c r="P11" s="32"/>
      <c r="Q11" s="39">
        <f>SUM(B11:P11)</f>
        <v>0</v>
      </c>
      <c r="R11" s="32"/>
    </row>
    <row r="12" spans="1:18" x14ac:dyDescent="0.2">
      <c r="A12" s="117">
        <v>43132</v>
      </c>
      <c r="B12" s="32">
        <f t="shared" si="0"/>
        <v>-80</v>
      </c>
      <c r="C12" s="32"/>
      <c r="G12" s="32"/>
      <c r="H12" s="32">
        <v>80</v>
      </c>
      <c r="I12" s="32"/>
      <c r="J12" s="132"/>
      <c r="K12" s="32"/>
      <c r="N12" s="32"/>
      <c r="Q12" s="39">
        <f>SUM(B12:P12)</f>
        <v>0</v>
      </c>
      <c r="R12" s="32"/>
    </row>
    <row r="13" spans="1:18" x14ac:dyDescent="0.2">
      <c r="A13" s="117">
        <v>43160</v>
      </c>
      <c r="B13" s="32">
        <f t="shared" si="0"/>
        <v>-80</v>
      </c>
      <c r="C13" s="32"/>
      <c r="G13" s="32"/>
      <c r="H13" s="32">
        <v>80</v>
      </c>
      <c r="I13" s="32"/>
      <c r="J13" s="132"/>
      <c r="K13" s="32"/>
      <c r="N13" s="32"/>
      <c r="P13" s="32"/>
      <c r="Q13" s="39">
        <f>SUM(B13:P13)</f>
        <v>0</v>
      </c>
      <c r="R13" s="32"/>
    </row>
    <row r="14" spans="1:18" x14ac:dyDescent="0.2">
      <c r="A14" s="117">
        <v>43193</v>
      </c>
      <c r="B14" s="32">
        <f t="shared" si="0"/>
        <v>-80</v>
      </c>
      <c r="C14" s="32"/>
      <c r="G14" s="32"/>
      <c r="H14" s="32">
        <v>80</v>
      </c>
      <c r="I14" s="32"/>
      <c r="J14" s="132"/>
      <c r="K14" s="32"/>
      <c r="N14" s="32"/>
      <c r="Q14" s="39">
        <f>SUM(B14:O14)</f>
        <v>0</v>
      </c>
      <c r="R14" s="72"/>
    </row>
    <row r="15" spans="1:18" x14ac:dyDescent="0.2">
      <c r="A15" s="117">
        <v>43216</v>
      </c>
      <c r="B15" s="32">
        <f t="shared" si="0"/>
        <v>-31.04</v>
      </c>
      <c r="C15" s="32"/>
      <c r="G15" s="32"/>
      <c r="H15" s="32"/>
      <c r="J15" s="132"/>
      <c r="K15" s="32"/>
      <c r="N15" s="32">
        <v>31.04</v>
      </c>
      <c r="Q15" s="39">
        <f>SUM(B15:O15)</f>
        <v>0</v>
      </c>
      <c r="R15" s="72"/>
    </row>
    <row r="16" spans="1:18" x14ac:dyDescent="0.2">
      <c r="A16" s="117">
        <v>43222</v>
      </c>
      <c r="B16" s="32">
        <f t="shared" si="0"/>
        <v>-80</v>
      </c>
      <c r="C16" s="32"/>
      <c r="G16" s="32"/>
      <c r="H16" s="32">
        <v>80</v>
      </c>
      <c r="I16" s="32"/>
      <c r="J16" s="132"/>
      <c r="K16" s="32"/>
      <c r="N16" s="32"/>
      <c r="Q16" s="39">
        <f>SUM(B16:O16)</f>
        <v>0</v>
      </c>
      <c r="R16" s="32"/>
    </row>
    <row r="17" spans="1:18" x14ac:dyDescent="0.2">
      <c r="A17" s="117">
        <v>43252</v>
      </c>
      <c r="B17" s="32">
        <f t="shared" si="0"/>
        <v>-80</v>
      </c>
      <c r="C17" s="32"/>
      <c r="G17" s="32"/>
      <c r="H17" s="32">
        <v>80</v>
      </c>
      <c r="I17" s="32"/>
      <c r="J17" s="132"/>
      <c r="K17" s="32"/>
      <c r="N17" s="32"/>
      <c r="Q17" s="39">
        <f>SUM(B17:O17)</f>
        <v>0</v>
      </c>
      <c r="R17" s="32"/>
    </row>
    <row r="18" spans="1:18" x14ac:dyDescent="0.2">
      <c r="A18" s="117">
        <v>43283</v>
      </c>
      <c r="B18" s="32">
        <f>-N18-H18</f>
        <v>-80</v>
      </c>
      <c r="G18" s="32"/>
      <c r="H18" s="32">
        <v>80</v>
      </c>
      <c r="I18" s="32"/>
      <c r="J18" s="132"/>
      <c r="K18" s="32"/>
      <c r="L18" s="32"/>
      <c r="M18" s="132"/>
      <c r="N18" s="32"/>
      <c r="P18" s="32"/>
      <c r="Q18" s="39">
        <f>SUM(B18:N18)</f>
        <v>0</v>
      </c>
      <c r="R18" s="32"/>
    </row>
    <row r="19" spans="1:18" x14ac:dyDescent="0.2">
      <c r="A19" s="117">
        <v>43305</v>
      </c>
      <c r="B19" s="32">
        <f>-C19</f>
        <v>10000</v>
      </c>
      <c r="C19" s="32">
        <v>-10000</v>
      </c>
      <c r="G19" s="32"/>
      <c r="I19" s="32"/>
      <c r="J19" s="132"/>
      <c r="K19" s="32"/>
      <c r="L19" s="32"/>
      <c r="M19" s="132"/>
      <c r="N19" s="32"/>
      <c r="P19" s="32"/>
      <c r="Q19" s="39">
        <f t="shared" ref="Q19:Q35" si="1">SUM(B19:P19)</f>
        <v>0</v>
      </c>
      <c r="R19" s="32"/>
    </row>
    <row r="20" spans="1:18" x14ac:dyDescent="0.2">
      <c r="A20" s="31">
        <v>43305</v>
      </c>
      <c r="B20" s="32">
        <f>-N20-O20</f>
        <v>-11216.57</v>
      </c>
      <c r="C20" s="32"/>
      <c r="G20" s="32"/>
      <c r="I20" s="32"/>
      <c r="J20" s="132"/>
      <c r="K20" s="32"/>
      <c r="L20" s="32"/>
      <c r="M20" s="132"/>
      <c r="N20" s="32"/>
      <c r="O20" s="32">
        <v>11216.57</v>
      </c>
      <c r="P20" s="32"/>
      <c r="Q20" s="39">
        <f t="shared" si="1"/>
        <v>0</v>
      </c>
      <c r="R20" s="72"/>
    </row>
    <row r="21" spans="1:18" x14ac:dyDescent="0.2">
      <c r="A21" s="117">
        <v>43306</v>
      </c>
      <c r="B21" s="32">
        <f>-K21</f>
        <v>12216.57</v>
      </c>
      <c r="C21" s="32"/>
      <c r="D21" s="32"/>
      <c r="F21" s="32"/>
      <c r="G21" s="32"/>
      <c r="H21" s="32"/>
      <c r="I21" s="32"/>
      <c r="J21" s="132"/>
      <c r="K21" s="32">
        <v>-12216.57</v>
      </c>
      <c r="L21" s="32"/>
      <c r="M21" s="132"/>
      <c r="N21" s="32"/>
      <c r="Q21" s="39">
        <f t="shared" si="1"/>
        <v>0</v>
      </c>
    </row>
    <row r="22" spans="1:18" x14ac:dyDescent="0.2">
      <c r="A22" s="117">
        <v>43306</v>
      </c>
      <c r="B22" s="32">
        <f>-O22-N22</f>
        <v>-1006</v>
      </c>
      <c r="C22" s="32"/>
      <c r="D22" s="32"/>
      <c r="F22" s="32"/>
      <c r="G22" s="32"/>
      <c r="H22" s="32"/>
      <c r="I22" s="32"/>
      <c r="J22" s="132"/>
      <c r="K22" s="32"/>
      <c r="L22" s="32"/>
      <c r="M22" s="132"/>
      <c r="N22" s="32">
        <v>6</v>
      </c>
      <c r="O22" s="32">
        <v>1000</v>
      </c>
      <c r="Q22" s="39">
        <f t="shared" si="1"/>
        <v>0</v>
      </c>
      <c r="R22" s="32"/>
    </row>
    <row r="23" spans="1:18" x14ac:dyDescent="0.2">
      <c r="A23" s="117">
        <v>43307</v>
      </c>
      <c r="B23" s="32">
        <f>-N23</f>
        <v>-26.57</v>
      </c>
      <c r="C23" s="32"/>
      <c r="D23" s="32"/>
      <c r="F23" s="32"/>
      <c r="G23" s="32"/>
      <c r="H23" s="32"/>
      <c r="I23" s="32"/>
      <c r="J23" s="132"/>
      <c r="K23" s="32"/>
      <c r="L23" s="32"/>
      <c r="M23" s="132"/>
      <c r="N23" s="32">
        <v>26.57</v>
      </c>
      <c r="Q23" s="39">
        <f t="shared" si="1"/>
        <v>0</v>
      </c>
      <c r="R23" s="32"/>
    </row>
    <row r="24" spans="1:18" x14ac:dyDescent="0.2">
      <c r="A24" s="117">
        <v>43313</v>
      </c>
      <c r="B24" s="32">
        <f>-H24</f>
        <v>-80</v>
      </c>
      <c r="C24" s="32"/>
      <c r="D24" s="32"/>
      <c r="F24" s="32"/>
      <c r="G24" s="32"/>
      <c r="H24" s="32">
        <v>80</v>
      </c>
      <c r="I24" s="32"/>
      <c r="J24" s="132"/>
      <c r="K24" s="32"/>
      <c r="L24" s="32"/>
      <c r="M24" s="132"/>
      <c r="N24" s="32"/>
      <c r="Q24" s="39">
        <f t="shared" si="1"/>
        <v>0</v>
      </c>
      <c r="R24" s="32"/>
    </row>
    <row r="25" spans="1:18" x14ac:dyDescent="0.2">
      <c r="A25" s="117">
        <v>43321</v>
      </c>
      <c r="B25" s="32">
        <f>-O25</f>
        <v>-552</v>
      </c>
      <c r="C25" s="32"/>
      <c r="D25" s="32">
        <v>80</v>
      </c>
      <c r="F25" s="32"/>
      <c r="G25" s="32"/>
      <c r="H25" s="32"/>
      <c r="I25" s="32"/>
      <c r="J25" s="132"/>
      <c r="K25" s="32">
        <v>-80</v>
      </c>
      <c r="L25" s="32"/>
      <c r="M25" s="132"/>
      <c r="N25" s="32"/>
      <c r="O25" s="32">
        <v>552</v>
      </c>
      <c r="Q25" s="39">
        <f t="shared" si="1"/>
        <v>0</v>
      </c>
      <c r="R25" s="32"/>
    </row>
    <row r="26" spans="1:18" x14ac:dyDescent="0.2">
      <c r="A26" s="117">
        <v>43346</v>
      </c>
      <c r="B26" s="32">
        <f>-H26</f>
        <v>-80</v>
      </c>
      <c r="C26" s="32"/>
      <c r="D26" s="32"/>
      <c r="F26" s="32"/>
      <c r="G26" s="32"/>
      <c r="H26" s="32">
        <v>80</v>
      </c>
      <c r="I26" s="32"/>
      <c r="J26" s="132"/>
      <c r="K26" s="32"/>
      <c r="L26" s="32"/>
      <c r="M26" s="132"/>
      <c r="N26" s="32"/>
      <c r="Q26" s="39">
        <f t="shared" si="1"/>
        <v>0</v>
      </c>
      <c r="R26" s="32"/>
    </row>
    <row r="27" spans="1:18" x14ac:dyDescent="0.2">
      <c r="A27" s="117">
        <v>43367</v>
      </c>
      <c r="B27" s="32">
        <f>-K27</f>
        <v>7500</v>
      </c>
      <c r="C27" s="32"/>
      <c r="D27" s="32"/>
      <c r="F27" s="32"/>
      <c r="G27" s="32"/>
      <c r="H27" s="32"/>
      <c r="I27" s="32"/>
      <c r="J27" s="132"/>
      <c r="K27" s="32">
        <v>-7500</v>
      </c>
      <c r="L27" s="32"/>
      <c r="M27" s="132"/>
      <c r="N27" s="32"/>
      <c r="Q27" s="39">
        <f t="shared" si="1"/>
        <v>0</v>
      </c>
      <c r="R27" s="32"/>
    </row>
    <row r="28" spans="1:18" x14ac:dyDescent="0.2">
      <c r="A28" s="117">
        <v>43374</v>
      </c>
      <c r="B28" s="32">
        <f>-H28</f>
        <v>-80</v>
      </c>
      <c r="C28" s="32"/>
      <c r="D28" s="32"/>
      <c r="F28" s="32"/>
      <c r="G28" s="32"/>
      <c r="H28" s="32">
        <v>80</v>
      </c>
      <c r="I28" s="32"/>
      <c r="J28" s="132"/>
      <c r="K28" s="32"/>
      <c r="L28" s="32"/>
      <c r="M28" s="132"/>
      <c r="N28" s="32"/>
      <c r="Q28" s="39">
        <f t="shared" si="1"/>
        <v>0</v>
      </c>
      <c r="R28" s="32"/>
    </row>
    <row r="29" spans="1:18" x14ac:dyDescent="0.2">
      <c r="A29" s="31">
        <v>43399</v>
      </c>
      <c r="B29" s="32">
        <f>-N29</f>
        <v>-27.55</v>
      </c>
      <c r="C29" s="32"/>
      <c r="D29" s="32"/>
      <c r="F29" s="32"/>
      <c r="G29" s="32"/>
      <c r="H29" s="32"/>
      <c r="I29" s="32"/>
      <c r="J29" s="132"/>
      <c r="K29" s="32"/>
      <c r="L29" s="32"/>
      <c r="M29" s="132"/>
      <c r="N29" s="32">
        <v>27.55</v>
      </c>
      <c r="Q29" s="39">
        <f t="shared" si="1"/>
        <v>0</v>
      </c>
      <c r="R29" s="32"/>
    </row>
    <row r="30" spans="1:18" x14ac:dyDescent="0.2">
      <c r="A30" s="117">
        <v>43405</v>
      </c>
      <c r="B30" s="32">
        <f>-H30</f>
        <v>-80</v>
      </c>
      <c r="C30" s="32"/>
      <c r="D30" s="32"/>
      <c r="F30" s="32"/>
      <c r="G30" s="32"/>
      <c r="H30" s="32">
        <v>80</v>
      </c>
      <c r="I30" s="32"/>
      <c r="J30" s="132"/>
      <c r="K30" s="32"/>
      <c r="L30" s="32"/>
      <c r="M30" s="132"/>
      <c r="N30" s="32"/>
      <c r="Q30" s="39">
        <f t="shared" si="1"/>
        <v>0</v>
      </c>
      <c r="R30" s="32"/>
    </row>
    <row r="31" spans="1:18" x14ac:dyDescent="0.2">
      <c r="A31" s="117">
        <v>43435</v>
      </c>
      <c r="B31" s="32">
        <f>-H31</f>
        <v>-80</v>
      </c>
      <c r="C31" s="32"/>
      <c r="D31" s="32"/>
      <c r="F31" s="32"/>
      <c r="G31" s="32"/>
      <c r="H31" s="32">
        <v>80</v>
      </c>
      <c r="I31" s="32"/>
      <c r="J31" s="132"/>
      <c r="K31" s="32"/>
      <c r="L31" s="32"/>
      <c r="M31" s="132"/>
      <c r="N31" s="32"/>
      <c r="Q31" s="39">
        <f t="shared" si="1"/>
        <v>0</v>
      </c>
      <c r="R31" s="32"/>
    </row>
    <row r="32" spans="1:18" x14ac:dyDescent="0.2">
      <c r="A32" s="117">
        <v>43457</v>
      </c>
      <c r="B32" s="32">
        <f>-H32</f>
        <v>-4250</v>
      </c>
      <c r="C32" s="32"/>
      <c r="D32" s="32"/>
      <c r="F32" s="32"/>
      <c r="G32" s="32"/>
      <c r="H32" s="32">
        <v>4250</v>
      </c>
      <c r="I32" s="32"/>
      <c r="J32" s="132"/>
      <c r="K32" s="32"/>
      <c r="L32" s="32"/>
      <c r="M32" s="132"/>
      <c r="N32" s="32"/>
      <c r="Q32" s="39">
        <f t="shared" si="1"/>
        <v>0</v>
      </c>
      <c r="R32" s="32"/>
    </row>
    <row r="33" spans="1:18" x14ac:dyDescent="0.2">
      <c r="A33" s="117">
        <v>43823</v>
      </c>
      <c r="B33" s="32">
        <v>-15000</v>
      </c>
      <c r="C33" s="32">
        <v>15000</v>
      </c>
      <c r="D33" s="32"/>
      <c r="F33" s="32"/>
      <c r="G33" s="32"/>
      <c r="H33" s="32"/>
      <c r="I33" s="32"/>
      <c r="J33" s="132"/>
      <c r="K33" s="32"/>
      <c r="L33" s="32"/>
      <c r="M33" s="132"/>
      <c r="N33" s="32"/>
      <c r="Q33" s="39">
        <f t="shared" si="1"/>
        <v>0</v>
      </c>
      <c r="R33" s="32"/>
    </row>
    <row r="34" spans="1:18" x14ac:dyDescent="0.2">
      <c r="A34" s="117">
        <v>43466</v>
      </c>
      <c r="B34" s="32"/>
      <c r="C34" s="32">
        <v>3.67</v>
      </c>
      <c r="D34" s="32"/>
      <c r="F34" s="32"/>
      <c r="G34" s="32"/>
      <c r="H34" s="32"/>
      <c r="I34" s="32"/>
      <c r="J34" s="132"/>
      <c r="K34" s="32"/>
      <c r="L34" s="32">
        <f>-C34</f>
        <v>-3.67</v>
      </c>
      <c r="M34" s="132"/>
      <c r="N34" s="32"/>
      <c r="Q34" s="39">
        <f t="shared" si="1"/>
        <v>0</v>
      </c>
      <c r="R34" s="32"/>
    </row>
    <row r="35" spans="1:18" s="20" customFormat="1" x14ac:dyDescent="0.2">
      <c r="A35" s="20" t="s">
        <v>203</v>
      </c>
      <c r="B35" s="39">
        <f t="shared" ref="B35:L35" si="2">SUM(B5:B34)</f>
        <v>3681.9299999999967</v>
      </c>
      <c r="C35" s="39">
        <f t="shared" si="2"/>
        <v>18675.009999999995</v>
      </c>
      <c r="D35" s="39">
        <f t="shared" si="2"/>
        <v>80</v>
      </c>
      <c r="E35" s="39">
        <f t="shared" si="2"/>
        <v>0</v>
      </c>
      <c r="F35" s="39">
        <f t="shared" si="2"/>
        <v>0</v>
      </c>
      <c r="G35" s="39">
        <f t="shared" si="2"/>
        <v>-12645.190000000004</v>
      </c>
      <c r="H35" s="39">
        <f t="shared" si="2"/>
        <v>-2880</v>
      </c>
      <c r="I35" s="39">
        <f t="shared" si="2"/>
        <v>0</v>
      </c>
      <c r="J35" s="83">
        <f t="shared" si="2"/>
        <v>0</v>
      </c>
      <c r="K35" s="39">
        <f t="shared" si="2"/>
        <v>-19796.57</v>
      </c>
      <c r="L35" s="39">
        <f t="shared" si="2"/>
        <v>-3.67</v>
      </c>
      <c r="M35" s="83"/>
      <c r="N35" s="39">
        <f>SUM(N5:N34)</f>
        <v>119.92</v>
      </c>
      <c r="O35" s="39">
        <f>SUM(O5:O34)</f>
        <v>12768.57</v>
      </c>
      <c r="P35" s="39">
        <f>SUM(P5:P34)</f>
        <v>0</v>
      </c>
      <c r="Q35" s="39">
        <f t="shared" si="1"/>
        <v>-1.2732925824820995E-11</v>
      </c>
      <c r="R35" s="39"/>
    </row>
    <row r="36" spans="1:18" s="20" customFormat="1" x14ac:dyDescent="0.2">
      <c r="B36" s="39"/>
      <c r="C36" s="39"/>
      <c r="D36" s="39"/>
      <c r="E36" s="39"/>
      <c r="F36" s="39"/>
      <c r="G36" s="39"/>
      <c r="H36" s="39"/>
      <c r="I36" s="39"/>
      <c r="J36" s="83"/>
      <c r="K36" s="39"/>
      <c r="L36" s="39"/>
      <c r="M36" s="83"/>
      <c r="N36" s="39"/>
      <c r="O36" s="39"/>
      <c r="P36" s="39"/>
      <c r="Q36" s="39"/>
      <c r="R36" s="39"/>
    </row>
    <row r="37" spans="1:18" x14ac:dyDescent="0.2">
      <c r="A37" s="20" t="s">
        <v>199</v>
      </c>
      <c r="B37" s="32"/>
      <c r="C37" s="32"/>
      <c r="D37" s="32"/>
      <c r="F37" s="32"/>
      <c r="G37" s="32"/>
      <c r="H37" s="32"/>
      <c r="I37" s="32"/>
      <c r="J37" s="132"/>
      <c r="K37" s="32"/>
      <c r="L37" s="32"/>
      <c r="M37" s="132"/>
      <c r="N37" s="32"/>
      <c r="P37" s="32"/>
      <c r="Q37" s="32"/>
      <c r="R37" s="32"/>
    </row>
    <row r="38" spans="1:18" x14ac:dyDescent="0.2">
      <c r="A38" s="70" t="s">
        <v>549</v>
      </c>
      <c r="B38" s="32"/>
      <c r="C38" s="32"/>
      <c r="D38" s="72">
        <f>+N35</f>
        <v>119.92</v>
      </c>
      <c r="E38" s="72"/>
      <c r="F38" s="72"/>
      <c r="G38" s="32"/>
      <c r="H38" s="32"/>
      <c r="I38" s="32"/>
      <c r="J38" s="132"/>
      <c r="L38" s="32"/>
      <c r="M38" s="132"/>
      <c r="N38" s="47">
        <f>-N35</f>
        <v>-119.92</v>
      </c>
      <c r="P38" s="32"/>
      <c r="Q38" s="32">
        <f>SUM(B38:P38)</f>
        <v>0</v>
      </c>
      <c r="R38" s="32"/>
    </row>
    <row r="39" spans="1:18" x14ac:dyDescent="0.2">
      <c r="A39" s="20" t="s">
        <v>556</v>
      </c>
      <c r="B39" s="32"/>
      <c r="C39" s="32"/>
      <c r="G39" s="32"/>
      <c r="H39" s="32">
        <f>-SUM(D53:D56)</f>
        <v>-15000</v>
      </c>
      <c r="I39" s="32"/>
      <c r="J39" s="132"/>
      <c r="L39" s="32"/>
      <c r="M39" s="132"/>
      <c r="N39" s="32"/>
      <c r="P39" s="32">
        <v>15000</v>
      </c>
      <c r="R39" s="32"/>
    </row>
    <row r="40" spans="1:18" x14ac:dyDescent="0.2">
      <c r="A40" s="20"/>
      <c r="B40" s="32"/>
      <c r="C40" s="32"/>
      <c r="G40" s="32"/>
      <c r="H40" s="32"/>
      <c r="I40" s="32"/>
      <c r="J40" s="132"/>
      <c r="L40" s="32"/>
      <c r="M40" s="132"/>
      <c r="N40" s="32"/>
      <c r="P40" s="32"/>
      <c r="Q40" s="32"/>
      <c r="R40" s="32"/>
    </row>
    <row r="41" spans="1:18" x14ac:dyDescent="0.2">
      <c r="B41" s="32"/>
      <c r="C41" s="32"/>
      <c r="D41" s="32"/>
      <c r="F41" s="32"/>
      <c r="G41" s="32"/>
      <c r="H41" s="32"/>
      <c r="I41" s="32"/>
      <c r="J41" s="132"/>
      <c r="K41" s="32"/>
      <c r="L41" s="32"/>
      <c r="M41" s="132"/>
      <c r="N41" s="32"/>
      <c r="P41" s="32"/>
      <c r="Q41" s="32"/>
      <c r="R41" s="32"/>
    </row>
    <row r="42" spans="1:18" s="20" customFormat="1" x14ac:dyDescent="0.2">
      <c r="A42" s="20" t="s">
        <v>194</v>
      </c>
      <c r="B42" s="39">
        <f t="shared" ref="B42:I42" si="3">+SUM(B35:B41)</f>
        <v>3681.9299999999967</v>
      </c>
      <c r="C42" s="39">
        <f t="shared" si="3"/>
        <v>18675.009999999995</v>
      </c>
      <c r="D42" s="39">
        <f t="shared" si="3"/>
        <v>199.92000000000002</v>
      </c>
      <c r="E42" s="39">
        <f t="shared" si="3"/>
        <v>0</v>
      </c>
      <c r="F42" s="39">
        <f t="shared" si="3"/>
        <v>0</v>
      </c>
      <c r="G42" s="39">
        <f t="shared" si="3"/>
        <v>-12645.190000000004</v>
      </c>
      <c r="H42" s="39">
        <f t="shared" si="3"/>
        <v>-17880</v>
      </c>
      <c r="I42" s="39">
        <f t="shared" si="3"/>
        <v>0</v>
      </c>
      <c r="J42" s="83"/>
      <c r="K42" s="39">
        <f>+SUM(K35:K41)</f>
        <v>-19796.57</v>
      </c>
      <c r="L42" s="39">
        <f>+SUM(L35:L41)</f>
        <v>-3.67</v>
      </c>
      <c r="M42" s="83"/>
      <c r="N42" s="39">
        <f>+SUM(N35:N41)</f>
        <v>0</v>
      </c>
      <c r="O42" s="39">
        <f>+SUM(O35:O41)</f>
        <v>12768.57</v>
      </c>
      <c r="P42" s="39">
        <f>+SUM(P35:P41)</f>
        <v>15000</v>
      </c>
      <c r="Q42" s="39">
        <f>SUM(B42:I42)+SUM(K42:L42)+SUM(N42:P42)</f>
        <v>0</v>
      </c>
      <c r="R42" s="39"/>
    </row>
    <row r="43" spans="1:18" x14ac:dyDescent="0.2">
      <c r="B43" s="32"/>
      <c r="C43" s="32"/>
      <c r="D43" s="32"/>
      <c r="F43" s="32"/>
      <c r="G43" s="32"/>
      <c r="H43" s="32"/>
      <c r="I43" s="32"/>
      <c r="J43" s="132"/>
      <c r="K43" s="32"/>
      <c r="L43" s="32"/>
      <c r="M43" s="132"/>
      <c r="N43" s="32"/>
      <c r="P43" s="32"/>
      <c r="Q43" s="32"/>
      <c r="R43" s="32"/>
    </row>
    <row r="44" spans="1:18" s="20" customFormat="1" x14ac:dyDescent="0.2">
      <c r="A44" s="20" t="s">
        <v>505</v>
      </c>
      <c r="B44" s="39"/>
      <c r="C44" s="39"/>
      <c r="E44" s="39"/>
      <c r="G44" s="111">
        <f>+SUM(K44:L44)+SUM(N44:P44)</f>
        <v>-7968.3300000000017</v>
      </c>
      <c r="H44" s="32"/>
      <c r="I44" s="32"/>
      <c r="J44" s="132"/>
      <c r="K44" s="32">
        <f>-K42</f>
        <v>19796.57</v>
      </c>
      <c r="L44" s="32">
        <f>-L35</f>
        <v>3.67</v>
      </c>
      <c r="M44" s="132"/>
      <c r="N44" s="32">
        <f>-N42</f>
        <v>0</v>
      </c>
      <c r="O44" s="32">
        <f>-O42</f>
        <v>-12768.57</v>
      </c>
      <c r="P44" s="72">
        <f>-P42</f>
        <v>-15000</v>
      </c>
      <c r="Q44" s="39">
        <f>+SUM(K44:L44)+SUM(N44:P44)</f>
        <v>-7968.3300000000017</v>
      </c>
      <c r="R44" s="39"/>
    </row>
    <row r="45" spans="1:18" x14ac:dyDescent="0.2">
      <c r="B45" s="32"/>
      <c r="C45" s="32"/>
      <c r="D45" s="32"/>
      <c r="F45" s="32"/>
      <c r="G45" s="32"/>
      <c r="H45" s="32"/>
      <c r="I45" s="32"/>
      <c r="J45" s="132"/>
      <c r="K45" s="32"/>
      <c r="L45" s="32"/>
      <c r="M45" s="132"/>
      <c r="N45" s="32"/>
      <c r="P45" s="32"/>
      <c r="Q45" s="32"/>
      <c r="R45" s="32"/>
    </row>
    <row r="46" spans="1:18" s="20" customFormat="1" x14ac:dyDescent="0.2">
      <c r="A46" s="20" t="s">
        <v>240</v>
      </c>
      <c r="B46" s="39">
        <f>+B42+B44</f>
        <v>3681.9299999999967</v>
      </c>
      <c r="C46" s="39">
        <f>+C42+C44</f>
        <v>18675.009999999995</v>
      </c>
      <c r="D46" s="39">
        <f t="shared" ref="D46:I46" si="4">+D42+D44</f>
        <v>199.92000000000002</v>
      </c>
      <c r="E46" s="39">
        <f t="shared" si="4"/>
        <v>0</v>
      </c>
      <c r="F46" s="39">
        <f t="shared" si="4"/>
        <v>0</v>
      </c>
      <c r="G46" s="39">
        <f>+G42-G44</f>
        <v>-4676.8600000000024</v>
      </c>
      <c r="H46" s="39">
        <f t="shared" si="4"/>
        <v>-17880</v>
      </c>
      <c r="I46" s="39">
        <f t="shared" si="4"/>
        <v>0</v>
      </c>
      <c r="J46" s="83"/>
      <c r="K46" s="39">
        <f t="shared" ref="K46:P46" si="5">+K42+K44</f>
        <v>0</v>
      </c>
      <c r="L46" s="39">
        <f t="shared" si="5"/>
        <v>0</v>
      </c>
      <c r="M46" s="83"/>
      <c r="N46" s="39">
        <f t="shared" si="5"/>
        <v>0</v>
      </c>
      <c r="O46" s="39">
        <f t="shared" si="5"/>
        <v>0</v>
      </c>
      <c r="P46" s="39">
        <f t="shared" si="5"/>
        <v>0</v>
      </c>
      <c r="Q46" s="39">
        <f>SUM(B46:I46)</f>
        <v>-1.4551915228366852E-11</v>
      </c>
      <c r="R46" s="39"/>
    </row>
    <row r="48" spans="1:18" s="133" customFormat="1" ht="15" x14ac:dyDescent="0.2">
      <c r="A48" s="133" t="s">
        <v>557</v>
      </c>
      <c r="E48" s="134"/>
      <c r="J48" s="135"/>
      <c r="M48" s="135"/>
      <c r="O48" s="134"/>
    </row>
    <row r="49" spans="1:10" x14ac:dyDescent="0.2">
      <c r="A49" s="70" t="s">
        <v>550</v>
      </c>
      <c r="C49" s="32">
        <v>10590</v>
      </c>
    </row>
    <row r="50" spans="1:10" x14ac:dyDescent="0.2">
      <c r="A50" s="70" t="s">
        <v>450</v>
      </c>
      <c r="B50" s="32">
        <f>4*80*12</f>
        <v>3840</v>
      </c>
      <c r="C50" s="32">
        <f>-12*80</f>
        <v>-960</v>
      </c>
      <c r="D50" s="32">
        <f>+C50+B50</f>
        <v>2880</v>
      </c>
      <c r="E50"/>
    </row>
    <row r="51" spans="1:10" x14ac:dyDescent="0.2">
      <c r="A51" s="70" t="s">
        <v>558</v>
      </c>
      <c r="B51" s="32">
        <v>2500</v>
      </c>
      <c r="C51" s="32">
        <v>-2500</v>
      </c>
      <c r="D51" s="32">
        <f t="shared" ref="D51:D52" si="6">+C51+B51</f>
        <v>0</v>
      </c>
      <c r="E51"/>
    </row>
    <row r="52" spans="1:10" x14ac:dyDescent="0.2">
      <c r="A52" s="70" t="s">
        <v>559</v>
      </c>
      <c r="B52" s="32">
        <v>4250</v>
      </c>
      <c r="C52" s="32">
        <v>-4250</v>
      </c>
      <c r="D52" s="32">
        <f t="shared" si="6"/>
        <v>0</v>
      </c>
      <c r="E52"/>
    </row>
    <row r="53" spans="1:10" x14ac:dyDescent="0.2">
      <c r="A53" s="70" t="s">
        <v>560</v>
      </c>
      <c r="D53" s="32">
        <v>4000</v>
      </c>
      <c r="E53"/>
    </row>
    <row r="54" spans="1:10" x14ac:dyDescent="0.2">
      <c r="A54" s="70" t="s">
        <v>561</v>
      </c>
      <c r="D54" s="32">
        <v>4000</v>
      </c>
      <c r="E54"/>
    </row>
    <row r="55" spans="1:10" x14ac:dyDescent="0.2">
      <c r="A55" s="70" t="s">
        <v>562</v>
      </c>
      <c r="D55" s="32">
        <v>5000</v>
      </c>
      <c r="E55"/>
    </row>
    <row r="56" spans="1:10" x14ac:dyDescent="0.2">
      <c r="A56" s="70" t="s">
        <v>563</v>
      </c>
      <c r="D56" s="136">
        <v>2000</v>
      </c>
      <c r="E56"/>
    </row>
    <row r="57" spans="1:10" x14ac:dyDescent="0.2">
      <c r="A57" s="20" t="s">
        <v>551</v>
      </c>
      <c r="C57" s="70"/>
      <c r="D57" s="32">
        <f>SUM(D50:D56)</f>
        <v>17880</v>
      </c>
      <c r="E57"/>
      <c r="I57" s="32"/>
      <c r="J57" s="132"/>
    </row>
    <row r="58" spans="1:10" x14ac:dyDescent="0.2">
      <c r="D58" s="32"/>
      <c r="E58"/>
    </row>
    <row r="59" spans="1:10" x14ac:dyDescent="0.2">
      <c r="A59" s="70" t="s">
        <v>521</v>
      </c>
      <c r="D59" s="32">
        <f>-G46</f>
        <v>4676.8600000000024</v>
      </c>
      <c r="E59"/>
    </row>
    <row r="61" spans="1:10" x14ac:dyDescent="0.2">
      <c r="A61" s="70" t="s">
        <v>522</v>
      </c>
      <c r="D61" s="70" t="s">
        <v>564</v>
      </c>
    </row>
    <row r="62" spans="1:10" x14ac:dyDescent="0.2">
      <c r="A62" s="70" t="s">
        <v>523</v>
      </c>
      <c r="B62" s="47">
        <f>+O20</f>
        <v>11216.57</v>
      </c>
      <c r="C62" s="70" t="s">
        <v>526</v>
      </c>
      <c r="D62" s="32">
        <v>0</v>
      </c>
    </row>
    <row r="63" spans="1:10" x14ac:dyDescent="0.2">
      <c r="A63" s="70" t="s">
        <v>525</v>
      </c>
      <c r="B63" s="47">
        <f>+O22</f>
        <v>1000</v>
      </c>
      <c r="C63" s="70" t="s">
        <v>526</v>
      </c>
      <c r="D63" s="32">
        <v>0</v>
      </c>
    </row>
    <row r="64" spans="1:10" x14ac:dyDescent="0.2">
      <c r="A64" s="70" t="s">
        <v>524</v>
      </c>
      <c r="B64" s="136">
        <v>80</v>
      </c>
      <c r="C64" s="70" t="s">
        <v>565</v>
      </c>
      <c r="D64" s="136">
        <f>+O25+K25</f>
        <v>472</v>
      </c>
    </row>
    <row r="65" spans="2:5" x14ac:dyDescent="0.2">
      <c r="B65" s="47">
        <f ca="1">SUM(B62:B65)</f>
        <v>12296.57</v>
      </c>
      <c r="C65" s="72"/>
      <c r="D65" s="32">
        <f ca="1">SUM(D62:D65)</f>
        <v>472</v>
      </c>
      <c r="E65" s="32">
        <f ca="1">+D65+B65</f>
        <v>0</v>
      </c>
    </row>
  </sheetData>
  <printOptions gridLines="1"/>
  <pageMargins left="0.74803149606299213" right="0.74803149606299213" top="0.98425196850393704" bottom="0.98425196850393704" header="0.51181102362204722" footer="0.51181102362204722"/>
  <pageSetup scale="58" orientation="portrait" r:id="rId1"/>
  <headerFooter alignWithMargins="0">
    <oddFooter>&amp;L&amp;F, &amp;A&amp;R&amp;D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0"/>
  <sheetViews>
    <sheetView topLeftCell="A25" workbookViewId="0">
      <selection activeCell="E36" sqref="E36"/>
    </sheetView>
  </sheetViews>
  <sheetFormatPr defaultColWidth="8.85546875" defaultRowHeight="12.75" x14ac:dyDescent="0.2"/>
  <cols>
    <col min="1" max="1" width="27.42578125" customWidth="1"/>
    <col min="2" max="3" width="10.28515625" customWidth="1"/>
    <col min="4" max="4" width="10.28515625" bestFit="1" customWidth="1"/>
    <col min="5" max="5" width="9.28515625" style="32" customWidth="1"/>
    <col min="6" max="6" width="7.7109375" bestFit="1" customWidth="1"/>
    <col min="7" max="8" width="10.28515625" customWidth="1"/>
    <col min="9" max="9" width="7.7109375" bestFit="1" customWidth="1"/>
    <col min="10" max="10" width="1" style="84" customWidth="1"/>
    <col min="11" max="11" width="10.28515625" customWidth="1"/>
    <col min="12" max="12" width="6.7109375" bestFit="1" customWidth="1"/>
    <col min="13" max="13" width="1.140625" style="84" customWidth="1"/>
    <col min="14" max="14" width="7.7109375" customWidth="1"/>
    <col min="15" max="15" width="10.28515625" style="32" customWidth="1"/>
    <col min="16" max="16" width="9.28515625" bestFit="1" customWidth="1"/>
    <col min="17" max="17" width="10.28515625" customWidth="1"/>
    <col min="18" max="18" width="6.85546875" bestFit="1" customWidth="1"/>
  </cols>
  <sheetData>
    <row r="1" spans="1:18" ht="15.75" x14ac:dyDescent="0.25">
      <c r="A1" s="42" t="s">
        <v>512</v>
      </c>
    </row>
    <row r="2" spans="1:18" ht="12" customHeight="1" x14ac:dyDescent="0.2"/>
    <row r="3" spans="1:18" s="12" customFormat="1" ht="132.75" customHeight="1" x14ac:dyDescent="0.2">
      <c r="B3" s="69" t="s">
        <v>291</v>
      </c>
      <c r="C3" s="69" t="s">
        <v>292</v>
      </c>
      <c r="D3" s="90" t="s">
        <v>372</v>
      </c>
      <c r="E3" s="119" t="s">
        <v>459</v>
      </c>
      <c r="F3" s="90" t="s">
        <v>467</v>
      </c>
      <c r="G3" s="69" t="s">
        <v>186</v>
      </c>
      <c r="H3" s="69" t="s">
        <v>202</v>
      </c>
      <c r="I3" s="69" t="s">
        <v>484</v>
      </c>
      <c r="J3" s="102"/>
      <c r="K3" s="69" t="s">
        <v>392</v>
      </c>
      <c r="L3" s="69" t="s">
        <v>302</v>
      </c>
      <c r="M3" s="102"/>
      <c r="N3" s="69" t="s">
        <v>190</v>
      </c>
      <c r="O3" s="118" t="s">
        <v>324</v>
      </c>
      <c r="P3" s="90" t="s">
        <v>447</v>
      </c>
    </row>
    <row r="5" spans="1:18" s="20" customFormat="1" x14ac:dyDescent="0.2">
      <c r="A5" s="20" t="s">
        <v>191</v>
      </c>
      <c r="B5" s="39">
        <f>+'kolommenbalans 2017'!B39</f>
        <v>7668.9999999999964</v>
      </c>
      <c r="C5" s="39">
        <f>+'kolommenbalans 2017'!C39</f>
        <v>13671.339999999998</v>
      </c>
      <c r="D5" s="39">
        <f>+'kolommenbalans 2017'!E39</f>
        <v>173.56</v>
      </c>
      <c r="E5" s="39">
        <f>+'kolommenbalans 2017'!F39</f>
        <v>1000</v>
      </c>
      <c r="F5" s="39">
        <f>+'kolommenbalans 2017'!G39</f>
        <v>721.29</v>
      </c>
      <c r="G5" s="39">
        <f>+'kolommenbalans 2017'!H39</f>
        <v>-12645.190000000004</v>
      </c>
      <c r="H5" s="39">
        <f>+'kolommenbalans 2017'!I39</f>
        <v>-10590</v>
      </c>
      <c r="I5" s="39">
        <f>+'kolommenbalans 2017'!J39</f>
        <v>0</v>
      </c>
      <c r="J5" s="83"/>
      <c r="K5" s="39"/>
      <c r="L5" s="39"/>
      <c r="M5" s="83"/>
      <c r="N5" s="39">
        <f>+'kolommenbalans 2014'!K29</f>
        <v>0</v>
      </c>
      <c r="O5" s="39"/>
      <c r="P5" s="39"/>
      <c r="Q5" s="39">
        <f>SUM(B5:N5)</f>
        <v>-5.4569682106375694E-12</v>
      </c>
      <c r="R5" s="39">
        <f>SUM(L5:N5)</f>
        <v>0</v>
      </c>
    </row>
    <row r="6" spans="1:18" x14ac:dyDescent="0.2">
      <c r="A6" s="117">
        <v>43102</v>
      </c>
      <c r="B6" s="32">
        <f>-H6</f>
        <v>-80</v>
      </c>
      <c r="C6" s="32"/>
      <c r="D6" s="32"/>
      <c r="F6" s="32"/>
      <c r="G6" s="32"/>
      <c r="H6" s="32">
        <v>80</v>
      </c>
      <c r="I6" s="32"/>
      <c r="J6" s="82"/>
      <c r="K6" s="32"/>
      <c r="L6" s="32"/>
      <c r="M6" s="82"/>
      <c r="N6" s="32"/>
      <c r="P6" s="32"/>
      <c r="Q6" s="39">
        <f>SUM(B6:P6)</f>
        <v>0</v>
      </c>
      <c r="R6" s="32"/>
    </row>
    <row r="7" spans="1:18" x14ac:dyDescent="0.2">
      <c r="A7" s="117">
        <v>43104</v>
      </c>
      <c r="B7" s="32">
        <f t="shared" ref="B7:B17" si="0">-N7-H7</f>
        <v>-2500</v>
      </c>
      <c r="C7" s="32"/>
      <c r="G7" s="32"/>
      <c r="H7" s="32">
        <v>2500</v>
      </c>
      <c r="I7" s="32"/>
      <c r="J7" s="82"/>
      <c r="K7" s="32"/>
      <c r="N7" s="32"/>
      <c r="P7" s="32"/>
      <c r="Q7" s="39">
        <f>SUM(B7:P7)</f>
        <v>0</v>
      </c>
      <c r="R7" s="32"/>
    </row>
    <row r="8" spans="1:18" x14ac:dyDescent="0.2">
      <c r="A8" s="117">
        <v>43122</v>
      </c>
      <c r="B8" s="32">
        <f>-N8-D8</f>
        <v>173.56</v>
      </c>
      <c r="C8" s="32"/>
      <c r="D8" s="32">
        <v>-173.56</v>
      </c>
      <c r="F8" s="32"/>
      <c r="G8" s="32"/>
      <c r="H8" s="32"/>
      <c r="I8" s="32"/>
      <c r="J8" s="82"/>
      <c r="K8" s="32"/>
      <c r="L8" s="32"/>
      <c r="M8" s="82"/>
      <c r="N8" s="32"/>
      <c r="P8" s="32"/>
      <c r="Q8" s="39">
        <f>SUM(B8:P8)</f>
        <v>0</v>
      </c>
      <c r="R8" s="32"/>
    </row>
    <row r="9" spans="1:18" x14ac:dyDescent="0.2">
      <c r="A9" s="117">
        <v>43122</v>
      </c>
      <c r="B9" s="32">
        <f>-N9-E9</f>
        <v>1000</v>
      </c>
      <c r="C9" s="32"/>
      <c r="E9" s="32">
        <v>-1000</v>
      </c>
      <c r="G9" s="32"/>
      <c r="H9" s="32"/>
      <c r="I9" s="32"/>
      <c r="J9" s="82"/>
      <c r="K9" s="32"/>
      <c r="N9" s="32"/>
      <c r="Q9" s="39">
        <f>SUM(B9:P9)</f>
        <v>0</v>
      </c>
      <c r="R9" s="32"/>
    </row>
    <row r="10" spans="1:18" x14ac:dyDescent="0.2">
      <c r="A10" s="117">
        <v>43122</v>
      </c>
      <c r="B10" s="32">
        <f>-N10-F10</f>
        <v>721.29</v>
      </c>
      <c r="C10" s="32"/>
      <c r="F10">
        <v>-721.29</v>
      </c>
      <c r="G10" s="32"/>
      <c r="H10" s="32"/>
      <c r="I10" s="32"/>
      <c r="J10" s="82"/>
      <c r="K10" s="32"/>
      <c r="N10" s="32"/>
      <c r="Q10" s="39"/>
      <c r="R10" s="32"/>
    </row>
    <row r="11" spans="1:18" x14ac:dyDescent="0.2">
      <c r="A11" s="117">
        <v>43126</v>
      </c>
      <c r="B11" s="32">
        <f t="shared" si="0"/>
        <v>-28.76</v>
      </c>
      <c r="C11" s="32"/>
      <c r="D11" s="32"/>
      <c r="F11" s="32"/>
      <c r="G11" s="32"/>
      <c r="H11" s="32"/>
      <c r="I11" s="32"/>
      <c r="J11" s="82"/>
      <c r="K11" s="32"/>
      <c r="L11" s="32"/>
      <c r="M11" s="82"/>
      <c r="N11" s="32">
        <v>28.76</v>
      </c>
      <c r="P11" s="32"/>
      <c r="Q11" s="39">
        <f>SUM(B11:P11)</f>
        <v>0</v>
      </c>
      <c r="R11" s="32"/>
    </row>
    <row r="12" spans="1:18" x14ac:dyDescent="0.2">
      <c r="A12" s="117">
        <v>43132</v>
      </c>
      <c r="B12" s="32">
        <f t="shared" si="0"/>
        <v>-80</v>
      </c>
      <c r="C12" s="32"/>
      <c r="G12" s="32"/>
      <c r="H12" s="32">
        <v>80</v>
      </c>
      <c r="I12" s="32"/>
      <c r="J12" s="82"/>
      <c r="K12" s="32"/>
      <c r="N12" s="32"/>
      <c r="Q12" s="39">
        <f>SUM(B12:P12)</f>
        <v>0</v>
      </c>
      <c r="R12" s="32"/>
    </row>
    <row r="13" spans="1:18" x14ac:dyDescent="0.2">
      <c r="A13" s="117">
        <v>43160</v>
      </c>
      <c r="B13" s="32">
        <f t="shared" si="0"/>
        <v>-80</v>
      </c>
      <c r="C13" s="32"/>
      <c r="G13" s="32"/>
      <c r="H13" s="32">
        <v>80</v>
      </c>
      <c r="I13" s="32"/>
      <c r="J13" s="82"/>
      <c r="K13" s="32"/>
      <c r="N13" s="32"/>
      <c r="P13" s="32"/>
      <c r="Q13" s="39">
        <f>SUM(B13:P13)</f>
        <v>0</v>
      </c>
      <c r="R13" s="32"/>
    </row>
    <row r="14" spans="1:18" x14ac:dyDescent="0.2">
      <c r="A14" s="117">
        <v>43193</v>
      </c>
      <c r="B14" s="32">
        <f t="shared" si="0"/>
        <v>-80</v>
      </c>
      <c r="C14" s="32"/>
      <c r="G14" s="32"/>
      <c r="H14" s="32">
        <v>80</v>
      </c>
      <c r="I14" s="32"/>
      <c r="J14" s="82"/>
      <c r="K14" s="32"/>
      <c r="N14" s="32"/>
      <c r="Q14" s="39">
        <f>SUM(B14:O14)</f>
        <v>0</v>
      </c>
      <c r="R14" s="72"/>
    </row>
    <row r="15" spans="1:18" x14ac:dyDescent="0.2">
      <c r="A15" s="117">
        <v>43216</v>
      </c>
      <c r="B15" s="32">
        <f t="shared" si="0"/>
        <v>-31.04</v>
      </c>
      <c r="C15" s="32"/>
      <c r="G15" s="32"/>
      <c r="H15" s="32"/>
      <c r="J15" s="82"/>
      <c r="K15" s="32"/>
      <c r="N15" s="32">
        <v>31.04</v>
      </c>
      <c r="Q15" s="39">
        <f>SUM(B15:O15)</f>
        <v>0</v>
      </c>
      <c r="R15" s="113"/>
    </row>
    <row r="16" spans="1:18" x14ac:dyDescent="0.2">
      <c r="A16" s="117">
        <v>43222</v>
      </c>
      <c r="B16" s="32">
        <f t="shared" si="0"/>
        <v>-80</v>
      </c>
      <c r="C16" s="32"/>
      <c r="G16" s="32"/>
      <c r="H16" s="32">
        <v>80</v>
      </c>
      <c r="I16" s="32"/>
      <c r="J16" s="82"/>
      <c r="K16" s="32"/>
      <c r="N16" s="32"/>
      <c r="Q16" s="39">
        <f>SUM(B16:O16)</f>
        <v>0</v>
      </c>
      <c r="R16" s="32"/>
    </row>
    <row r="17" spans="1:18" x14ac:dyDescent="0.2">
      <c r="A17" s="117">
        <v>43252</v>
      </c>
      <c r="B17" s="32">
        <f t="shared" si="0"/>
        <v>-80</v>
      </c>
      <c r="C17" s="32"/>
      <c r="G17" s="32"/>
      <c r="H17" s="32">
        <v>80</v>
      </c>
      <c r="I17" s="32"/>
      <c r="J17" s="82"/>
      <c r="K17" s="32"/>
      <c r="N17" s="32"/>
      <c r="Q17" s="39">
        <f>SUM(B17:O17)</f>
        <v>0</v>
      </c>
      <c r="R17" s="32"/>
    </row>
    <row r="18" spans="1:18" x14ac:dyDescent="0.2">
      <c r="A18" s="117">
        <v>43283</v>
      </c>
      <c r="B18" s="32">
        <f>-N18-H18</f>
        <v>-80</v>
      </c>
      <c r="G18" s="32"/>
      <c r="H18" s="32">
        <v>80</v>
      </c>
      <c r="I18" s="32"/>
      <c r="J18" s="82"/>
      <c r="K18" s="32"/>
      <c r="L18" s="32"/>
      <c r="M18" s="82"/>
      <c r="N18" s="32"/>
      <c r="P18" s="32"/>
      <c r="Q18" s="39">
        <f>SUM(B18:N18)</f>
        <v>0</v>
      </c>
      <c r="R18" s="32"/>
    </row>
    <row r="19" spans="1:18" x14ac:dyDescent="0.2">
      <c r="A19" s="117">
        <v>43305</v>
      </c>
      <c r="B19" s="32">
        <f>-C19</f>
        <v>10000</v>
      </c>
      <c r="C19" s="32">
        <v>-10000</v>
      </c>
      <c r="G19" s="32"/>
      <c r="I19" s="32"/>
      <c r="J19" s="82"/>
      <c r="K19" s="32"/>
      <c r="L19" s="32"/>
      <c r="M19" s="82"/>
      <c r="N19" s="32"/>
      <c r="P19" s="32"/>
      <c r="Q19" s="39">
        <f t="shared" ref="Q19:Q34" si="1">SUM(B19:P19)</f>
        <v>0</v>
      </c>
      <c r="R19" s="32"/>
    </row>
    <row r="20" spans="1:18" x14ac:dyDescent="0.2">
      <c r="A20" s="31">
        <v>43305</v>
      </c>
      <c r="B20" s="32">
        <f>-N20-O20</f>
        <v>-11216.57</v>
      </c>
      <c r="C20" s="32"/>
      <c r="G20" s="32"/>
      <c r="I20" s="32"/>
      <c r="J20" s="82"/>
      <c r="K20" s="32"/>
      <c r="L20" s="32"/>
      <c r="M20" s="82"/>
      <c r="N20" s="32"/>
      <c r="O20" s="32">
        <v>11216.57</v>
      </c>
      <c r="P20" s="32"/>
      <c r="Q20" s="39">
        <f t="shared" si="1"/>
        <v>0</v>
      </c>
      <c r="R20" s="72"/>
    </row>
    <row r="21" spans="1:18" x14ac:dyDescent="0.2">
      <c r="A21" s="117">
        <v>43306</v>
      </c>
      <c r="B21" s="32">
        <f>-K21</f>
        <v>12216.57</v>
      </c>
      <c r="C21" s="32"/>
      <c r="D21" s="32"/>
      <c r="F21" s="32"/>
      <c r="G21" s="32"/>
      <c r="H21" s="32"/>
      <c r="I21" s="32"/>
      <c r="J21" s="82"/>
      <c r="K21" s="32">
        <v>-12216.57</v>
      </c>
      <c r="L21" s="32"/>
      <c r="M21" s="82"/>
      <c r="N21" s="32"/>
      <c r="Q21" s="39">
        <f t="shared" si="1"/>
        <v>0</v>
      </c>
    </row>
    <row r="22" spans="1:18" x14ac:dyDescent="0.2">
      <c r="A22" s="117">
        <v>43306</v>
      </c>
      <c r="B22" s="32">
        <f>-O22-N22</f>
        <v>-1006</v>
      </c>
      <c r="C22" s="32"/>
      <c r="D22" s="32"/>
      <c r="F22" s="32"/>
      <c r="G22" s="32"/>
      <c r="H22" s="32"/>
      <c r="I22" s="32"/>
      <c r="J22" s="82"/>
      <c r="K22" s="32"/>
      <c r="L22" s="32"/>
      <c r="M22" s="82"/>
      <c r="N22" s="32">
        <v>6</v>
      </c>
      <c r="O22" s="32">
        <v>1000</v>
      </c>
      <c r="Q22" s="39">
        <f t="shared" si="1"/>
        <v>0</v>
      </c>
      <c r="R22" s="32"/>
    </row>
    <row r="23" spans="1:18" x14ac:dyDescent="0.2">
      <c r="A23" s="117">
        <v>43307</v>
      </c>
      <c r="B23" s="32">
        <f>-N23</f>
        <v>-26.57</v>
      </c>
      <c r="C23" s="32"/>
      <c r="D23" s="32"/>
      <c r="F23" s="32"/>
      <c r="G23" s="32"/>
      <c r="H23" s="32"/>
      <c r="I23" s="32"/>
      <c r="J23" s="82"/>
      <c r="K23" s="32"/>
      <c r="L23" s="32"/>
      <c r="M23" s="82"/>
      <c r="N23" s="32">
        <v>26.57</v>
      </c>
      <c r="Q23" s="39">
        <f t="shared" si="1"/>
        <v>0</v>
      </c>
      <c r="R23" s="32"/>
    </row>
    <row r="24" spans="1:18" x14ac:dyDescent="0.2">
      <c r="A24" s="117">
        <v>43313</v>
      </c>
      <c r="B24" s="32">
        <f>-H24</f>
        <v>-80</v>
      </c>
      <c r="C24" s="32"/>
      <c r="D24" s="32"/>
      <c r="F24" s="32"/>
      <c r="G24" s="32"/>
      <c r="H24" s="32">
        <v>80</v>
      </c>
      <c r="I24" s="32"/>
      <c r="J24" s="82"/>
      <c r="K24" s="32"/>
      <c r="L24" s="32"/>
      <c r="M24" s="82"/>
      <c r="N24" s="32"/>
      <c r="Q24" s="39">
        <f t="shared" si="1"/>
        <v>0</v>
      </c>
      <c r="R24" s="32"/>
    </row>
    <row r="25" spans="1:18" x14ac:dyDescent="0.2">
      <c r="A25" s="117">
        <v>43321</v>
      </c>
      <c r="B25" s="32">
        <f>-O25</f>
        <v>-552</v>
      </c>
      <c r="C25" s="32"/>
      <c r="D25" s="32"/>
      <c r="F25" s="32"/>
      <c r="G25" s="32"/>
      <c r="H25" s="32"/>
      <c r="I25" s="32"/>
      <c r="J25" s="82"/>
      <c r="K25" s="32"/>
      <c r="L25" s="32"/>
      <c r="M25" s="82"/>
      <c r="N25" s="32"/>
      <c r="O25" s="32">
        <v>552</v>
      </c>
      <c r="Q25" s="39">
        <f t="shared" si="1"/>
        <v>0</v>
      </c>
      <c r="R25" s="32"/>
    </row>
    <row r="26" spans="1:18" x14ac:dyDescent="0.2">
      <c r="A26" s="117">
        <v>43346</v>
      </c>
      <c r="B26" s="32">
        <f>-H26</f>
        <v>-80</v>
      </c>
      <c r="C26" s="32"/>
      <c r="D26" s="32"/>
      <c r="F26" s="32"/>
      <c r="G26" s="32"/>
      <c r="H26" s="32">
        <v>80</v>
      </c>
      <c r="I26" s="32"/>
      <c r="J26" s="82"/>
      <c r="K26" s="32"/>
      <c r="L26" s="32"/>
      <c r="M26" s="82"/>
      <c r="N26" s="32"/>
      <c r="Q26" s="39">
        <f t="shared" si="1"/>
        <v>0</v>
      </c>
      <c r="R26" s="32"/>
    </row>
    <row r="27" spans="1:18" x14ac:dyDescent="0.2">
      <c r="A27" s="117">
        <v>43367</v>
      </c>
      <c r="B27" s="32">
        <f>-K27</f>
        <v>7500</v>
      </c>
      <c r="C27" s="32"/>
      <c r="D27" s="32"/>
      <c r="F27" s="32"/>
      <c r="G27" s="32"/>
      <c r="H27" s="32"/>
      <c r="I27" s="32"/>
      <c r="J27" s="82"/>
      <c r="K27" s="32">
        <v>-7500</v>
      </c>
      <c r="L27" s="32"/>
      <c r="M27" s="82"/>
      <c r="N27" s="32"/>
      <c r="Q27" s="39">
        <f t="shared" si="1"/>
        <v>0</v>
      </c>
      <c r="R27" s="32"/>
    </row>
    <row r="28" spans="1:18" x14ac:dyDescent="0.2">
      <c r="A28" s="117">
        <v>43374</v>
      </c>
      <c r="B28" s="32">
        <f>-H28</f>
        <v>-80</v>
      </c>
      <c r="C28" s="32"/>
      <c r="D28" s="32"/>
      <c r="F28" s="32"/>
      <c r="G28" s="32"/>
      <c r="H28" s="32">
        <v>80</v>
      </c>
      <c r="I28" s="32"/>
      <c r="J28" s="82"/>
      <c r="K28" s="32"/>
      <c r="L28" s="32"/>
      <c r="M28" s="82"/>
      <c r="N28" s="32"/>
      <c r="Q28" s="39">
        <f t="shared" si="1"/>
        <v>0</v>
      </c>
      <c r="R28" s="32"/>
    </row>
    <row r="29" spans="1:18" x14ac:dyDescent="0.2">
      <c r="A29" s="31">
        <v>43399</v>
      </c>
      <c r="B29" s="32">
        <f>-N29</f>
        <v>-27.55</v>
      </c>
      <c r="C29" s="32"/>
      <c r="D29" s="32"/>
      <c r="F29" s="32"/>
      <c r="G29" s="32"/>
      <c r="H29" s="32"/>
      <c r="I29" s="32"/>
      <c r="J29" s="82"/>
      <c r="K29" s="32"/>
      <c r="L29" s="32"/>
      <c r="M29" s="82"/>
      <c r="N29" s="32">
        <v>27.55</v>
      </c>
      <c r="Q29" s="39">
        <f t="shared" si="1"/>
        <v>0</v>
      </c>
      <c r="R29" s="32"/>
    </row>
    <row r="30" spans="1:18" x14ac:dyDescent="0.2">
      <c r="A30" s="117">
        <v>43405</v>
      </c>
      <c r="B30" s="32">
        <f>-H30</f>
        <v>-80</v>
      </c>
      <c r="C30" s="32"/>
      <c r="D30" s="32"/>
      <c r="F30" s="32"/>
      <c r="G30" s="32"/>
      <c r="H30" s="32">
        <v>80</v>
      </c>
      <c r="I30" s="32"/>
      <c r="J30" s="82"/>
      <c r="K30" s="32"/>
      <c r="L30" s="32"/>
      <c r="M30" s="82"/>
      <c r="N30" s="32"/>
      <c r="Q30" s="39">
        <f t="shared" si="1"/>
        <v>0</v>
      </c>
      <c r="R30" s="32"/>
    </row>
    <row r="31" spans="1:18" x14ac:dyDescent="0.2">
      <c r="A31" s="117">
        <v>43435</v>
      </c>
      <c r="B31" s="32">
        <f>-H31</f>
        <v>-80</v>
      </c>
      <c r="C31" s="32"/>
      <c r="D31" s="32"/>
      <c r="F31" s="32"/>
      <c r="G31" s="32"/>
      <c r="H31" s="32">
        <v>80</v>
      </c>
      <c r="I31" s="32"/>
      <c r="J31" s="82"/>
      <c r="K31" s="32"/>
      <c r="L31" s="32"/>
      <c r="M31" s="82"/>
      <c r="N31" s="32"/>
      <c r="Q31" s="39">
        <f t="shared" si="1"/>
        <v>0</v>
      </c>
      <c r="R31" s="32"/>
    </row>
    <row r="32" spans="1:18" x14ac:dyDescent="0.2">
      <c r="A32" s="117">
        <v>43457</v>
      </c>
      <c r="B32" s="32">
        <f>-H32</f>
        <v>-4250</v>
      </c>
      <c r="C32" s="32"/>
      <c r="D32" s="32"/>
      <c r="F32" s="32"/>
      <c r="G32" s="32"/>
      <c r="H32" s="32">
        <v>4250</v>
      </c>
      <c r="I32" s="32"/>
      <c r="J32" s="82"/>
      <c r="K32" s="32"/>
      <c r="L32" s="32"/>
      <c r="M32" s="82"/>
      <c r="N32" s="32"/>
      <c r="Q32" s="39"/>
      <c r="R32" s="32"/>
    </row>
    <row r="33" spans="1:18" x14ac:dyDescent="0.2">
      <c r="B33" s="32"/>
      <c r="C33" s="32"/>
      <c r="D33" s="32"/>
      <c r="F33" s="32"/>
      <c r="G33" s="32"/>
      <c r="H33" s="32"/>
      <c r="I33" s="32"/>
      <c r="J33" s="82"/>
      <c r="K33" s="32"/>
      <c r="L33" s="32"/>
      <c r="M33" s="82"/>
      <c r="N33" s="32"/>
      <c r="P33" s="32"/>
      <c r="Q33" s="39">
        <f t="shared" si="1"/>
        <v>0</v>
      </c>
      <c r="R33" s="32"/>
    </row>
    <row r="34" spans="1:18" s="20" customFormat="1" x14ac:dyDescent="0.2">
      <c r="A34" s="20" t="s">
        <v>203</v>
      </c>
      <c r="B34" s="39">
        <f t="shared" ref="B34:L34" si="2">SUM(B5:B33)</f>
        <v>18681.929999999997</v>
      </c>
      <c r="C34" s="39">
        <f t="shared" si="2"/>
        <v>3671.3399999999983</v>
      </c>
      <c r="D34" s="39">
        <f t="shared" si="2"/>
        <v>0</v>
      </c>
      <c r="E34" s="39">
        <f t="shared" si="2"/>
        <v>0</v>
      </c>
      <c r="F34" s="39">
        <f t="shared" si="2"/>
        <v>0</v>
      </c>
      <c r="G34" s="39">
        <f t="shared" si="2"/>
        <v>-12645.190000000004</v>
      </c>
      <c r="H34" s="39">
        <f t="shared" si="2"/>
        <v>-2880</v>
      </c>
      <c r="I34" s="39">
        <f t="shared" si="2"/>
        <v>0</v>
      </c>
      <c r="J34" s="83">
        <f t="shared" si="2"/>
        <v>0</v>
      </c>
      <c r="K34" s="39">
        <f t="shared" si="2"/>
        <v>-19716.57</v>
      </c>
      <c r="L34" s="39">
        <f t="shared" si="2"/>
        <v>0</v>
      </c>
      <c r="M34" s="83"/>
      <c r="N34" s="39">
        <f>SUM(N5:N33)</f>
        <v>119.92</v>
      </c>
      <c r="O34" s="39">
        <f>SUM(O5:O33)</f>
        <v>12768.57</v>
      </c>
      <c r="P34" s="39">
        <f>SUM(P5:P33)</f>
        <v>0</v>
      </c>
      <c r="Q34" s="39">
        <f t="shared" si="1"/>
        <v>-7.2759576141834259E-12</v>
      </c>
      <c r="R34" s="39"/>
    </row>
    <row r="35" spans="1:18" s="20" customFormat="1" x14ac:dyDescent="0.2">
      <c r="B35" s="39"/>
      <c r="C35" s="39"/>
      <c r="D35" s="39"/>
      <c r="E35" s="39"/>
      <c r="F35" s="39"/>
      <c r="G35" s="39"/>
      <c r="H35" s="39"/>
      <c r="I35" s="39"/>
      <c r="J35" s="83"/>
      <c r="K35" s="39"/>
      <c r="L35" s="39"/>
      <c r="M35" s="83"/>
      <c r="N35" s="39"/>
      <c r="O35" s="39"/>
      <c r="P35" s="39"/>
      <c r="Q35" s="39"/>
      <c r="R35" s="39"/>
    </row>
    <row r="36" spans="1:18" x14ac:dyDescent="0.2">
      <c r="A36" s="20" t="s">
        <v>199</v>
      </c>
      <c r="B36" s="32"/>
      <c r="C36" s="32"/>
      <c r="D36" s="32"/>
      <c r="F36" s="32"/>
      <c r="G36" s="32"/>
      <c r="H36" s="32"/>
      <c r="I36" s="32"/>
      <c r="J36" s="82"/>
      <c r="K36" s="32"/>
      <c r="L36" s="32"/>
      <c r="M36" s="82"/>
      <c r="N36" s="32"/>
      <c r="P36" s="32"/>
      <c r="Q36" s="32"/>
      <c r="R36" s="32"/>
    </row>
    <row r="37" spans="1:18" x14ac:dyDescent="0.2">
      <c r="A37" s="70" t="s">
        <v>549</v>
      </c>
      <c r="B37" s="32"/>
      <c r="C37" s="32"/>
      <c r="D37" s="72">
        <f>+N34</f>
        <v>119.92</v>
      </c>
      <c r="E37" s="72"/>
      <c r="F37" s="72"/>
      <c r="G37" s="32"/>
      <c r="H37" s="32"/>
      <c r="I37" s="32"/>
      <c r="J37" s="82"/>
      <c r="L37" s="32"/>
      <c r="M37" s="82"/>
      <c r="N37" s="47">
        <f>-N34</f>
        <v>-119.92</v>
      </c>
      <c r="P37" s="32"/>
      <c r="Q37" s="32">
        <f>SUM(B37:P37)</f>
        <v>0</v>
      </c>
      <c r="R37" s="32"/>
    </row>
    <row r="38" spans="1:18" x14ac:dyDescent="0.2">
      <c r="A38" s="70"/>
      <c r="B38" s="32"/>
      <c r="C38" s="32"/>
      <c r="G38" s="32"/>
      <c r="H38" s="32"/>
      <c r="I38" s="32"/>
      <c r="J38" s="82"/>
      <c r="L38" s="32"/>
      <c r="M38" s="82"/>
      <c r="N38" s="32"/>
      <c r="P38" s="32">
        <f>-H38</f>
        <v>0</v>
      </c>
      <c r="Q38" s="32">
        <f>SUM(B38:P38)</f>
        <v>0</v>
      </c>
      <c r="R38" s="32"/>
    </row>
    <row r="39" spans="1:18" x14ac:dyDescent="0.2">
      <c r="B39" s="32"/>
      <c r="C39" s="32"/>
      <c r="D39" s="32"/>
      <c r="F39" s="32"/>
      <c r="G39" s="32"/>
      <c r="H39" s="32"/>
      <c r="I39" s="32"/>
      <c r="J39" s="82"/>
      <c r="K39" s="32"/>
      <c r="L39" s="32"/>
      <c r="M39" s="82"/>
      <c r="N39" s="32"/>
      <c r="P39" s="32"/>
      <c r="Q39" s="32"/>
      <c r="R39" s="32"/>
    </row>
    <row r="40" spans="1:18" s="20" customFormat="1" x14ac:dyDescent="0.2">
      <c r="A40" s="20" t="s">
        <v>194</v>
      </c>
      <c r="B40" s="39">
        <f t="shared" ref="B40:I40" si="3">+SUM(B34:B39)</f>
        <v>18681.929999999997</v>
      </c>
      <c r="C40" s="39">
        <f t="shared" si="3"/>
        <v>3671.3399999999983</v>
      </c>
      <c r="D40" s="39">
        <f t="shared" si="3"/>
        <v>119.92</v>
      </c>
      <c r="E40" s="39">
        <f t="shared" si="3"/>
        <v>0</v>
      </c>
      <c r="F40" s="39">
        <f t="shared" si="3"/>
        <v>0</v>
      </c>
      <c r="G40" s="39">
        <f t="shared" si="3"/>
        <v>-12645.190000000004</v>
      </c>
      <c r="H40" s="39">
        <f t="shared" si="3"/>
        <v>-2880</v>
      </c>
      <c r="I40" s="39">
        <f t="shared" si="3"/>
        <v>0</v>
      </c>
      <c r="J40" s="83"/>
      <c r="K40" s="39">
        <f>+SUM(K34:K39)</f>
        <v>-19716.57</v>
      </c>
      <c r="L40" s="39">
        <f>+SUM(L34:L39)</f>
        <v>0</v>
      </c>
      <c r="M40" s="83"/>
      <c r="N40" s="39">
        <f>+SUM(N34:N39)</f>
        <v>0</v>
      </c>
      <c r="O40" s="39">
        <f>+SUM(O34:O39)</f>
        <v>12768.57</v>
      </c>
      <c r="P40" s="39">
        <f>+SUM(P34:P39)</f>
        <v>0</v>
      </c>
      <c r="Q40" s="39">
        <f>SUM(B40:I40)+SUM(K40:L40)+SUM(N40:P40)</f>
        <v>0</v>
      </c>
      <c r="R40" s="39"/>
    </row>
    <row r="41" spans="1:18" x14ac:dyDescent="0.2">
      <c r="B41" s="32"/>
      <c r="C41" s="32"/>
      <c r="D41" s="32"/>
      <c r="F41" s="32"/>
      <c r="G41" s="32"/>
      <c r="H41" s="32"/>
      <c r="I41" s="32"/>
      <c r="J41" s="82"/>
      <c r="K41" s="32"/>
      <c r="L41" s="32"/>
      <c r="M41" s="82"/>
      <c r="N41" s="32"/>
      <c r="P41" s="32"/>
      <c r="Q41" s="32"/>
      <c r="R41" s="32"/>
    </row>
    <row r="42" spans="1:18" s="20" customFormat="1" x14ac:dyDescent="0.2">
      <c r="A42" s="20" t="s">
        <v>505</v>
      </c>
      <c r="B42" s="39"/>
      <c r="C42" s="39"/>
      <c r="E42" s="39"/>
      <c r="G42" s="111">
        <f>+SUM(K42:L42)+SUM(N42:P42)</f>
        <v>6948</v>
      </c>
      <c r="H42" s="32"/>
      <c r="I42" s="32"/>
      <c r="J42" s="82"/>
      <c r="K42" s="32">
        <f>-K40</f>
        <v>19716.57</v>
      </c>
      <c r="L42" s="32">
        <f>-L34</f>
        <v>0</v>
      </c>
      <c r="M42" s="82"/>
      <c r="N42" s="32">
        <f>-N40</f>
        <v>0</v>
      </c>
      <c r="O42" s="32">
        <f>-O40</f>
        <v>-12768.57</v>
      </c>
      <c r="P42" s="72">
        <f>-P40</f>
        <v>0</v>
      </c>
      <c r="Q42" s="39">
        <f>+SUM(K42:L42)+SUM(N42:P42)</f>
        <v>6948</v>
      </c>
      <c r="R42" s="39"/>
    </row>
    <row r="43" spans="1:18" x14ac:dyDescent="0.2">
      <c r="B43" s="32"/>
      <c r="C43" s="32"/>
      <c r="D43" s="32"/>
      <c r="F43" s="32"/>
      <c r="G43" s="32"/>
      <c r="H43" s="32"/>
      <c r="I43" s="32"/>
      <c r="J43" s="82"/>
      <c r="K43" s="32"/>
      <c r="L43" s="32"/>
      <c r="M43" s="82"/>
      <c r="N43" s="32"/>
      <c r="P43" s="32"/>
      <c r="Q43" s="32"/>
      <c r="R43" s="32"/>
    </row>
    <row r="44" spans="1:18" s="20" customFormat="1" x14ac:dyDescent="0.2">
      <c r="A44" s="20" t="s">
        <v>240</v>
      </c>
      <c r="B44" s="39">
        <f>+B40+B42</f>
        <v>18681.929999999997</v>
      </c>
      <c r="C44" s="39">
        <f>+C40+C42</f>
        <v>3671.3399999999983</v>
      </c>
      <c r="D44" s="39">
        <f t="shared" ref="D44:I44" si="4">+D40+D42</f>
        <v>119.92</v>
      </c>
      <c r="E44" s="39">
        <f t="shared" si="4"/>
        <v>0</v>
      </c>
      <c r="F44" s="39">
        <f t="shared" si="4"/>
        <v>0</v>
      </c>
      <c r="G44" s="39">
        <f>+G40-G42</f>
        <v>-19593.190000000002</v>
      </c>
      <c r="H44" s="39">
        <f t="shared" si="4"/>
        <v>-2880</v>
      </c>
      <c r="I44" s="39">
        <f t="shared" si="4"/>
        <v>0</v>
      </c>
      <c r="J44" s="83"/>
      <c r="K44" s="39">
        <f t="shared" ref="K44:P44" si="5">+K40+K42</f>
        <v>0</v>
      </c>
      <c r="L44" s="39">
        <f t="shared" si="5"/>
        <v>0</v>
      </c>
      <c r="M44" s="83"/>
      <c r="N44" s="39">
        <f t="shared" si="5"/>
        <v>0</v>
      </c>
      <c r="O44" s="39">
        <f t="shared" si="5"/>
        <v>0</v>
      </c>
      <c r="P44" s="39">
        <f t="shared" si="5"/>
        <v>0</v>
      </c>
      <c r="Q44" s="39">
        <f>SUM(B44:I44)</f>
        <v>-7.2759576141834259E-12</v>
      </c>
      <c r="R44" s="39"/>
    </row>
    <row r="47" spans="1:18" x14ac:dyDescent="0.2">
      <c r="A47" s="70" t="s">
        <v>550</v>
      </c>
      <c r="C47" s="32">
        <v>10590</v>
      </c>
    </row>
    <row r="48" spans="1:18" x14ac:dyDescent="0.2">
      <c r="A48" s="70" t="s">
        <v>450</v>
      </c>
      <c r="B48">
        <f>4*80*12</f>
        <v>3840</v>
      </c>
      <c r="C48">
        <f>-12*80</f>
        <v>-960</v>
      </c>
      <c r="D48" s="32">
        <f>+C48+B48</f>
        <v>2880</v>
      </c>
      <c r="E48"/>
    </row>
    <row r="49" spans="1:10" x14ac:dyDescent="0.2">
      <c r="A49" s="70"/>
      <c r="B49" s="76"/>
      <c r="D49" s="32"/>
      <c r="E49"/>
    </row>
    <row r="50" spans="1:10" x14ac:dyDescent="0.2">
      <c r="A50" s="70" t="s">
        <v>551</v>
      </c>
      <c r="C50" s="70"/>
      <c r="D50" s="32">
        <f>+D48</f>
        <v>2880</v>
      </c>
      <c r="E50"/>
      <c r="I50" s="32"/>
      <c r="J50" s="82"/>
    </row>
    <row r="51" spans="1:10" x14ac:dyDescent="0.2">
      <c r="D51" s="32"/>
      <c r="E51"/>
    </row>
    <row r="52" spans="1:10" x14ac:dyDescent="0.2">
      <c r="D52" s="32"/>
      <c r="E52"/>
    </row>
    <row r="53" spans="1:10" x14ac:dyDescent="0.2">
      <c r="A53" s="70" t="s">
        <v>521</v>
      </c>
      <c r="D53" s="32">
        <f>-G44</f>
        <v>19593.190000000002</v>
      </c>
      <c r="E53"/>
    </row>
    <row r="55" spans="1:10" x14ac:dyDescent="0.2">
      <c r="A55" s="70" t="s">
        <v>522</v>
      </c>
    </row>
    <row r="56" spans="1:10" x14ac:dyDescent="0.2">
      <c r="A56" s="70" t="s">
        <v>523</v>
      </c>
      <c r="B56" s="47">
        <f>+O20</f>
        <v>11216.57</v>
      </c>
      <c r="C56" s="70" t="s">
        <v>526</v>
      </c>
    </row>
    <row r="57" spans="1:10" x14ac:dyDescent="0.2">
      <c r="A57" s="70" t="s">
        <v>525</v>
      </c>
      <c r="B57" s="47">
        <f>+O22</f>
        <v>1000</v>
      </c>
      <c r="C57" s="70" t="s">
        <v>526</v>
      </c>
    </row>
    <row r="58" spans="1:10" x14ac:dyDescent="0.2">
      <c r="A58" s="70" t="s">
        <v>524</v>
      </c>
      <c r="B58" s="47">
        <f>+O25</f>
        <v>552</v>
      </c>
    </row>
    <row r="59" spans="1:10" x14ac:dyDescent="0.2">
      <c r="D59" s="70"/>
    </row>
    <row r="60" spans="1:10" x14ac:dyDescent="0.2">
      <c r="B60" s="47">
        <f>SUM(B56:B59)</f>
        <v>12768.57</v>
      </c>
      <c r="C60" s="72" t="s">
        <v>552</v>
      </c>
    </row>
  </sheetData>
  <pageMargins left="0.74803149606299213" right="0.74803149606299213" top="0.98425196850393704" bottom="0.98425196850393704" header="0.51181102362204722" footer="0.51181102362204722"/>
  <pageSetup scale="56" orientation="portrait" r:id="rId1"/>
  <headerFooter alignWithMargins="0">
    <oddFooter>&amp;L&amp;F, &amp;A&amp;R&amp;D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0"/>
  <sheetViews>
    <sheetView zoomScaleNormal="100" workbookViewId="0">
      <selection activeCell="C29" sqref="C29"/>
    </sheetView>
  </sheetViews>
  <sheetFormatPr defaultColWidth="8.85546875" defaultRowHeight="12.75" x14ac:dyDescent="0.2"/>
  <cols>
    <col min="1" max="1" width="9.28515625" customWidth="1"/>
    <col min="2" max="2" width="58.42578125" customWidth="1"/>
    <col min="3" max="3" width="14" style="44" customWidth="1"/>
  </cols>
  <sheetData>
    <row r="1" spans="1:3" s="104" customFormat="1" ht="15.75" x14ac:dyDescent="0.25">
      <c r="A1" s="104" t="s">
        <v>496</v>
      </c>
      <c r="C1" s="105"/>
    </row>
    <row r="3" spans="1:3" x14ac:dyDescent="0.2">
      <c r="A3" s="20" t="s">
        <v>497</v>
      </c>
      <c r="C3" s="33" t="s">
        <v>73</v>
      </c>
    </row>
    <row r="4" spans="1:3" x14ac:dyDescent="0.2">
      <c r="A4" t="s">
        <v>498</v>
      </c>
    </row>
    <row r="5" spans="1:3" x14ac:dyDescent="0.2">
      <c r="A5" t="s">
        <v>77</v>
      </c>
    </row>
    <row r="6" spans="1:3" x14ac:dyDescent="0.2">
      <c r="A6" t="s">
        <v>499</v>
      </c>
    </row>
    <row r="7" spans="1:3" x14ac:dyDescent="0.2">
      <c r="A7" t="s">
        <v>77</v>
      </c>
    </row>
    <row r="8" spans="1:3" x14ac:dyDescent="0.2">
      <c r="A8" t="s">
        <v>500</v>
      </c>
    </row>
    <row r="9" spans="1:3" x14ac:dyDescent="0.2">
      <c r="A9" t="s">
        <v>77</v>
      </c>
    </row>
    <row r="10" spans="1:3" x14ac:dyDescent="0.2">
      <c r="A10" t="s">
        <v>501</v>
      </c>
    </row>
    <row r="11" spans="1:3" x14ac:dyDescent="0.2">
      <c r="A11" t="s">
        <v>77</v>
      </c>
    </row>
    <row r="12" spans="1:3" x14ac:dyDescent="0.2">
      <c r="A12" s="70" t="s">
        <v>269</v>
      </c>
    </row>
    <row r="13" spans="1:3" x14ac:dyDescent="0.2">
      <c r="A13" t="s">
        <v>77</v>
      </c>
    </row>
    <row r="14" spans="1:3" x14ac:dyDescent="0.2">
      <c r="A14" s="20" t="s">
        <v>502</v>
      </c>
      <c r="C14" s="39">
        <f>SUM(C4:C13)</f>
        <v>0</v>
      </c>
    </row>
    <row r="15" spans="1:3" x14ac:dyDescent="0.2">
      <c r="A15" s="20" t="s">
        <v>386</v>
      </c>
    </row>
    <row r="16" spans="1:3" s="20" customFormat="1" x14ac:dyDescent="0.2">
      <c r="C16" s="39"/>
    </row>
    <row r="17" spans="1:6" x14ac:dyDescent="0.2">
      <c r="A17" s="20" t="s">
        <v>404</v>
      </c>
    </row>
    <row r="18" spans="1:6" x14ac:dyDescent="0.2">
      <c r="A18" s="70" t="s">
        <v>462</v>
      </c>
      <c r="C18" s="72">
        <v>3840</v>
      </c>
    </row>
    <row r="19" spans="1:6" x14ac:dyDescent="0.2">
      <c r="A19" s="20"/>
      <c r="B19" s="71" t="s">
        <v>455</v>
      </c>
      <c r="C19" s="72">
        <f>-12*80</f>
        <v>-960</v>
      </c>
      <c r="E19" s="70"/>
      <c r="F19" s="47"/>
    </row>
    <row r="20" spans="1:6" x14ac:dyDescent="0.2">
      <c r="A20" s="20"/>
      <c r="B20" s="29" t="s">
        <v>503</v>
      </c>
      <c r="C20" s="39">
        <f>+C19+C18</f>
        <v>2880</v>
      </c>
    </row>
    <row r="21" spans="1:6" x14ac:dyDescent="0.2">
      <c r="A21" s="70" t="s">
        <v>384</v>
      </c>
      <c r="C21" s="39">
        <v>4250</v>
      </c>
    </row>
    <row r="22" spans="1:6" x14ac:dyDescent="0.2">
      <c r="A22" s="20" t="s">
        <v>504</v>
      </c>
    </row>
    <row r="23" spans="1:6" x14ac:dyDescent="0.2">
      <c r="C23" s="106"/>
    </row>
    <row r="24" spans="1:6" x14ac:dyDescent="0.2">
      <c r="B24" s="107" t="s">
        <v>463</v>
      </c>
      <c r="C24" s="39">
        <f>SUM(C20:C23)</f>
        <v>7130</v>
      </c>
    </row>
    <row r="25" spans="1:6" x14ac:dyDescent="0.2">
      <c r="A25" s="70"/>
    </row>
    <row r="26" spans="1:6" x14ac:dyDescent="0.2">
      <c r="B26" s="70"/>
    </row>
    <row r="27" spans="1:6" x14ac:dyDescent="0.2">
      <c r="B27" s="70"/>
    </row>
    <row r="28" spans="1:6" x14ac:dyDescent="0.2">
      <c r="B28" s="70"/>
      <c r="C28" s="39"/>
    </row>
    <row r="29" spans="1:6" x14ac:dyDescent="0.2">
      <c r="A29" s="70"/>
    </row>
    <row r="30" spans="1:6" x14ac:dyDescent="0.2">
      <c r="A30" s="70"/>
    </row>
  </sheetData>
  <pageMargins left="0.74803149606299213" right="0.74803149606299213" top="0.98425196850393704" bottom="0.98425196850393704" header="0.51181102362204722" footer="0.51181102362204722"/>
  <pageSetup orientation="portrait" r:id="rId1"/>
  <headerFooter alignWithMargins="0">
    <oddFooter>&amp;L&amp;F, &amp;A&amp;R&amp;D</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29"/>
  <sheetViews>
    <sheetView zoomScaleNormal="100" workbookViewId="0">
      <selection activeCell="H32" sqref="H32"/>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s>
  <sheetData>
    <row r="1" spans="1:18" ht="20.25" x14ac:dyDescent="0.3">
      <c r="A1" s="10" t="s">
        <v>69</v>
      </c>
    </row>
    <row r="3" spans="1:18" s="109" customFormat="1" x14ac:dyDescent="0.2">
      <c r="D3" s="247">
        <v>43100</v>
      </c>
      <c r="E3" s="247"/>
      <c r="G3" s="247">
        <v>42735</v>
      </c>
      <c r="H3" s="247"/>
      <c r="J3" s="247">
        <v>42369</v>
      </c>
      <c r="K3" s="247"/>
      <c r="M3" s="247">
        <v>42004</v>
      </c>
      <c r="N3" s="247"/>
      <c r="P3" s="247">
        <v>41639</v>
      </c>
      <c r="Q3" s="247"/>
    </row>
    <row r="4" spans="1:18" x14ac:dyDescent="0.2">
      <c r="D4" s="248" t="s">
        <v>73</v>
      </c>
      <c r="E4" s="248"/>
      <c r="G4" s="248" t="s">
        <v>73</v>
      </c>
      <c r="H4" s="248"/>
      <c r="J4" s="248" t="s">
        <v>73</v>
      </c>
      <c r="K4" s="248"/>
      <c r="M4" s="248" t="s">
        <v>73</v>
      </c>
      <c r="N4" s="248"/>
      <c r="P4" s="248" t="s">
        <v>73</v>
      </c>
      <c r="Q4" s="248"/>
    </row>
    <row r="5" spans="1:18" ht="15.75" x14ac:dyDescent="0.25">
      <c r="A5" s="2" t="s">
        <v>21</v>
      </c>
      <c r="E5" s="8"/>
      <c r="H5" s="8"/>
      <c r="K5" s="8"/>
      <c r="N5" s="8"/>
      <c r="Q5" s="8"/>
    </row>
    <row r="6" spans="1:18" s="12" customFormat="1" ht="19.5" customHeight="1" x14ac:dyDescent="0.2">
      <c r="A6" s="11" t="s">
        <v>23</v>
      </c>
      <c r="D6" s="68"/>
      <c r="E6" s="14"/>
      <c r="G6" s="68"/>
      <c r="H6" s="14"/>
      <c r="J6" s="68"/>
      <c r="K6" s="14"/>
      <c r="M6" s="68"/>
      <c r="N6" s="14"/>
      <c r="P6" s="68"/>
      <c r="Q6" s="14"/>
    </row>
    <row r="7" spans="1:18" x14ac:dyDescent="0.2">
      <c r="A7" t="s">
        <v>25</v>
      </c>
      <c r="E7" s="8">
        <v>0</v>
      </c>
      <c r="H7" s="8">
        <v>0</v>
      </c>
      <c r="K7" s="8">
        <v>0</v>
      </c>
      <c r="N7" s="8">
        <v>0</v>
      </c>
      <c r="Q7" s="8">
        <v>0</v>
      </c>
    </row>
    <row r="8" spans="1:18" x14ac:dyDescent="0.2">
      <c r="E8" s="8"/>
      <c r="H8" s="8"/>
      <c r="K8" s="8"/>
      <c r="N8" s="8"/>
      <c r="Q8" s="8"/>
    </row>
    <row r="9" spans="1:18" s="12" customFormat="1" ht="19.5" customHeight="1" x14ac:dyDescent="0.2">
      <c r="A9" s="11" t="s">
        <v>24</v>
      </c>
      <c r="D9" s="68"/>
      <c r="E9" s="14"/>
      <c r="G9" s="68"/>
      <c r="H9" s="14"/>
      <c r="J9" s="68"/>
      <c r="K9" s="14"/>
      <c r="M9" s="68"/>
      <c r="N9" s="14"/>
      <c r="P9" s="68"/>
      <c r="Q9" s="14"/>
    </row>
    <row r="10" spans="1:18" x14ac:dyDescent="0.2">
      <c r="A10" t="s">
        <v>26</v>
      </c>
      <c r="D10" s="4">
        <f>+'kolommenbalans 2017'!E39+'kolommenbalans 2017'!F39+'kolommenbalans 2017'!G39</f>
        <v>1894.85</v>
      </c>
      <c r="E10" s="15"/>
      <c r="G10" s="4">
        <f>+'balans 2016'!D10</f>
        <v>167.54</v>
      </c>
      <c r="H10" s="15"/>
      <c r="J10" s="4">
        <f>+'balans 2015'!D10</f>
        <v>163.28</v>
      </c>
      <c r="K10" s="15"/>
      <c r="M10" s="4">
        <f>+'kolommenbalans 2014'!E29</f>
        <v>112.35</v>
      </c>
      <c r="N10" s="15"/>
      <c r="P10" s="4">
        <v>99.669999999999987</v>
      </c>
      <c r="Q10" s="15"/>
    </row>
    <row r="11" spans="1:18" ht="13.5" thickBot="1" x14ac:dyDescent="0.25">
      <c r="A11" s="70" t="s">
        <v>427</v>
      </c>
      <c r="D11" s="9">
        <f>+'kolommenbalans 2017'!B39+'kolommenbalans 2017'!C39</f>
        <v>21340.339999999997</v>
      </c>
      <c r="E11" s="8"/>
      <c r="G11" s="9">
        <f>+'balans 2016'!D11</f>
        <v>19843.679999999993</v>
      </c>
      <c r="H11" s="8"/>
      <c r="J11" s="4">
        <f>+'balans 2015'!D11</f>
        <v>21437.119999999995</v>
      </c>
      <c r="K11" s="8"/>
      <c r="M11" s="9">
        <f>+'kolommenbalans 2014'!C29+'kolommenbalans 2014'!D29</f>
        <v>18681.909999999996</v>
      </c>
      <c r="N11" s="8"/>
      <c r="P11" s="9">
        <v>18624.18</v>
      </c>
      <c r="Q11" s="8"/>
    </row>
    <row r="12" spans="1:18" ht="13.5" thickBot="1" x14ac:dyDescent="0.25">
      <c r="E12" s="16">
        <f>+D11+D10</f>
        <v>23235.189999999995</v>
      </c>
      <c r="H12" s="16">
        <f>+G11+G10</f>
        <v>20011.219999999994</v>
      </c>
      <c r="K12" s="16">
        <f>+J11+J10</f>
        <v>21600.399999999994</v>
      </c>
      <c r="N12" s="16">
        <f>+M11+M10</f>
        <v>18794.259999999995</v>
      </c>
      <c r="Q12" s="16">
        <v>18723.849999999999</v>
      </c>
    </row>
    <row r="13" spans="1:18" ht="19.5" customHeight="1" x14ac:dyDescent="0.2">
      <c r="A13" s="3"/>
      <c r="C13" s="29" t="s">
        <v>55</v>
      </c>
      <c r="D13" s="30"/>
      <c r="E13" s="18">
        <f>+E12+E7</f>
        <v>23235.189999999995</v>
      </c>
      <c r="F13" s="29"/>
      <c r="G13" s="30"/>
      <c r="H13" s="18">
        <f>+H12+H7</f>
        <v>20011.219999999994</v>
      </c>
      <c r="I13" s="29"/>
      <c r="J13" s="30"/>
      <c r="K13" s="18">
        <f>+K12+K7</f>
        <v>21600.399999999994</v>
      </c>
      <c r="L13" s="29"/>
      <c r="M13" s="30"/>
      <c r="N13" s="18">
        <f>+N12+N7</f>
        <v>18794.259999999995</v>
      </c>
      <c r="O13" s="29"/>
      <c r="P13" s="30"/>
      <c r="Q13" s="18">
        <v>18723.849999999999</v>
      </c>
      <c r="R13" s="29"/>
    </row>
    <row r="14" spans="1:18" x14ac:dyDescent="0.2">
      <c r="E14" s="8"/>
      <c r="H14" s="8"/>
      <c r="K14" s="8"/>
      <c r="N14" s="8"/>
      <c r="Q14" s="8"/>
    </row>
    <row r="15" spans="1:18" ht="15.75" x14ac:dyDescent="0.25">
      <c r="A15" s="2" t="s">
        <v>22</v>
      </c>
      <c r="E15" s="8"/>
      <c r="H15" s="8"/>
      <c r="K15" s="8"/>
      <c r="N15" s="8"/>
      <c r="Q15" s="8"/>
    </row>
    <row r="16" spans="1:18" ht="19.5" customHeight="1" x14ac:dyDescent="0.2">
      <c r="A16" s="11" t="s">
        <v>29</v>
      </c>
      <c r="E16" s="8"/>
      <c r="H16" s="8"/>
      <c r="K16" s="8"/>
      <c r="N16" s="8"/>
      <c r="Q16" s="8"/>
    </row>
    <row r="17" spans="1:18" x14ac:dyDescent="0.2">
      <c r="A17" t="s">
        <v>28</v>
      </c>
      <c r="D17" s="5">
        <f>+E13-D18</f>
        <v>12645.189999999995</v>
      </c>
      <c r="E17" s="8"/>
      <c r="G17" s="5">
        <f>+'balans 2016'!D17</f>
        <v>4230.5700000000015</v>
      </c>
      <c r="H17" s="8"/>
      <c r="J17" s="5">
        <f>-'balans 2015'!D17</f>
        <v>14848.090000000002</v>
      </c>
      <c r="K17" s="8"/>
      <c r="M17" s="5">
        <f>-'kolommenbalans 2014'!F29</f>
        <v>12794.26</v>
      </c>
      <c r="N17" s="8"/>
      <c r="P17" s="5">
        <v>11223.85</v>
      </c>
      <c r="Q17" s="8"/>
    </row>
    <row r="18" spans="1:18" ht="13.5" thickBot="1" x14ac:dyDescent="0.25">
      <c r="A18" s="70" t="s">
        <v>428</v>
      </c>
      <c r="D18" s="6">
        <f>-'kolommenbalans 2017'!I39</f>
        <v>10590</v>
      </c>
      <c r="E18" s="8"/>
      <c r="G18" s="6">
        <f>+'balans 2016'!D18</f>
        <v>15780.65</v>
      </c>
      <c r="H18" s="8"/>
      <c r="J18" s="6">
        <f>-'balans 2015'!D18</f>
        <v>6752.3099999999995</v>
      </c>
      <c r="K18" s="8"/>
      <c r="M18" s="6">
        <f>-'kolommenbalans 2014'!G29</f>
        <v>6000</v>
      </c>
      <c r="N18" s="8"/>
      <c r="P18" s="6">
        <v>7500</v>
      </c>
      <c r="Q18" s="8"/>
    </row>
    <row r="19" spans="1:18" s="12" customFormat="1" ht="13.5" customHeight="1" x14ac:dyDescent="0.2">
      <c r="D19" s="68"/>
      <c r="E19" s="49">
        <f>+D18+D17</f>
        <v>23235.189999999995</v>
      </c>
      <c r="G19" s="68"/>
      <c r="H19" s="49">
        <f>+G18+G17</f>
        <v>20011.22</v>
      </c>
      <c r="J19" s="68"/>
      <c r="K19" s="49">
        <f>+J18+J17</f>
        <v>21600.400000000001</v>
      </c>
      <c r="M19" s="68"/>
      <c r="N19" s="49">
        <f>+M18+M17</f>
        <v>18794.260000000002</v>
      </c>
      <c r="P19" s="68"/>
      <c r="Q19" s="49">
        <f>+P18+P17</f>
        <v>18723.849999999999</v>
      </c>
    </row>
    <row r="20" spans="1:18" x14ac:dyDescent="0.2">
      <c r="E20" s="8"/>
      <c r="H20" s="8"/>
      <c r="K20" s="8"/>
      <c r="N20" s="8"/>
      <c r="Q20" s="8"/>
    </row>
    <row r="21" spans="1:18" s="12" customFormat="1" ht="13.5" thickBot="1" x14ac:dyDescent="0.25">
      <c r="A21" s="11" t="s">
        <v>30</v>
      </c>
      <c r="E21" s="16">
        <v>0</v>
      </c>
      <c r="H21" s="16">
        <v>0</v>
      </c>
      <c r="K21" s="16">
        <v>0</v>
      </c>
      <c r="N21" s="16">
        <v>0</v>
      </c>
      <c r="Q21" s="16">
        <v>0</v>
      </c>
    </row>
    <row r="22" spans="1:18" ht="19.5" customHeight="1" x14ac:dyDescent="0.2">
      <c r="C22" s="29" t="s">
        <v>55</v>
      </c>
      <c r="D22" s="30"/>
      <c r="E22" s="18">
        <f>+E19</f>
        <v>23235.189999999995</v>
      </c>
      <c r="F22" s="29"/>
      <c r="G22" s="30"/>
      <c r="H22" s="18">
        <f>+H19</f>
        <v>20011.22</v>
      </c>
      <c r="I22" s="29"/>
      <c r="J22" s="30"/>
      <c r="K22" s="18">
        <f>+K19</f>
        <v>21600.400000000001</v>
      </c>
      <c r="L22" s="29"/>
      <c r="M22" s="30"/>
      <c r="N22" s="18">
        <f>+N19+N21</f>
        <v>18794.260000000002</v>
      </c>
      <c r="O22" s="29"/>
      <c r="P22" s="30"/>
      <c r="Q22" s="18">
        <v>18723.849999999999</v>
      </c>
      <c r="R22" s="29"/>
    </row>
    <row r="23" spans="1:18" ht="19.5" customHeight="1" x14ac:dyDescent="0.2">
      <c r="E23" s="18"/>
      <c r="H23" s="18"/>
      <c r="K23" s="18"/>
      <c r="N23" s="18"/>
      <c r="Q23" s="18"/>
    </row>
    <row r="24" spans="1:18" ht="19.5" customHeight="1" x14ac:dyDescent="0.2">
      <c r="E24" s="18"/>
      <c r="H24" s="18"/>
      <c r="K24" s="18"/>
      <c r="N24" s="18"/>
      <c r="Q24" s="18"/>
    </row>
    <row r="26" spans="1:18" x14ac:dyDescent="0.2">
      <c r="E26" s="52"/>
      <c r="H26" s="52"/>
      <c r="K26" s="52"/>
      <c r="N26" s="52"/>
      <c r="Q26" s="52"/>
    </row>
    <row r="27" spans="1:18" x14ac:dyDescent="0.2">
      <c r="A27" t="s">
        <v>31</v>
      </c>
      <c r="C27" t="s">
        <v>495</v>
      </c>
    </row>
    <row r="28" spans="1:18" x14ac:dyDescent="0.2">
      <c r="A28" s="70" t="s">
        <v>470</v>
      </c>
    </row>
    <row r="29" spans="1:18" x14ac:dyDescent="0.2">
      <c r="A29" t="s">
        <v>471</v>
      </c>
    </row>
  </sheetData>
  <mergeCells count="10">
    <mergeCell ref="D3:E3"/>
    <mergeCell ref="G3:H3"/>
    <mergeCell ref="J3:K3"/>
    <mergeCell ref="M3:N3"/>
    <mergeCell ref="P3:Q3"/>
    <mergeCell ref="D4:E4"/>
    <mergeCell ref="G4:H4"/>
    <mergeCell ref="J4:K4"/>
    <mergeCell ref="M4:N4"/>
    <mergeCell ref="P4:Q4"/>
  </mergeCells>
  <phoneticPr fontId="6" type="noConversion"/>
  <pageMargins left="0.75" right="0.5" top="0.98" bottom="0.98" header="0.51" footer="0.51"/>
  <pageSetup scale="81" orientation="landscape" r:id="rId1"/>
  <headerFooter alignWithMargins="0">
    <oddFooter>&amp;L&amp;F, &amp;A&amp;R&amp;D</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30"/>
  <sheetViews>
    <sheetView zoomScaleNormal="100" workbookViewId="0">
      <selection activeCell="D18" sqref="D18"/>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 min="22" max="22" width="9.140625" style="4" customWidth="1"/>
    <col min="24" max="24" width="2.42578125" customWidth="1"/>
    <col min="27" max="27" width="2.42578125" customWidth="1"/>
  </cols>
  <sheetData>
    <row r="1" spans="1:29" ht="20.25" x14ac:dyDescent="0.3">
      <c r="A1" s="10" t="s">
        <v>69</v>
      </c>
    </row>
    <row r="3" spans="1:29" s="109" customFormat="1" x14ac:dyDescent="0.2">
      <c r="D3" s="247">
        <v>43100</v>
      </c>
      <c r="E3" s="247"/>
      <c r="G3" s="247">
        <v>42735</v>
      </c>
      <c r="H3" s="247"/>
      <c r="J3" s="247">
        <v>42369</v>
      </c>
      <c r="K3" s="247"/>
      <c r="M3" s="247">
        <v>42004</v>
      </c>
      <c r="N3" s="247"/>
      <c r="P3" s="247">
        <v>41639</v>
      </c>
      <c r="Q3" s="247"/>
      <c r="S3" s="247">
        <v>41274</v>
      </c>
      <c r="T3" s="247"/>
      <c r="V3" s="247">
        <v>40908</v>
      </c>
      <c r="W3" s="247"/>
      <c r="Y3" s="247">
        <v>40543</v>
      </c>
      <c r="Z3" s="247"/>
      <c r="AA3" s="110"/>
      <c r="AB3" s="247">
        <v>40178</v>
      </c>
      <c r="AC3" s="247"/>
    </row>
    <row r="4" spans="1:29" x14ac:dyDescent="0.2">
      <c r="D4" s="248" t="s">
        <v>73</v>
      </c>
      <c r="E4" s="248"/>
      <c r="G4" s="248" t="s">
        <v>73</v>
      </c>
      <c r="H4" s="248"/>
      <c r="J4" s="248" t="s">
        <v>73</v>
      </c>
      <c r="K4" s="248"/>
      <c r="M4" s="248" t="s">
        <v>73</v>
      </c>
      <c r="N4" s="248"/>
      <c r="P4" s="248" t="s">
        <v>73</v>
      </c>
      <c r="Q4" s="248"/>
      <c r="S4" s="248" t="s">
        <v>73</v>
      </c>
      <c r="T4" s="248"/>
      <c r="V4" s="248" t="s">
        <v>73</v>
      </c>
      <c r="W4" s="248"/>
      <c r="Y4" s="248" t="s">
        <v>73</v>
      </c>
      <c r="Z4" s="248"/>
      <c r="AA4" s="35"/>
      <c r="AB4" s="248" t="s">
        <v>73</v>
      </c>
      <c r="AC4" s="248"/>
    </row>
    <row r="5" spans="1:29" ht="15.75" x14ac:dyDescent="0.25">
      <c r="A5" s="2" t="s">
        <v>21</v>
      </c>
      <c r="E5" s="8"/>
      <c r="H5" s="8"/>
      <c r="K5" s="8"/>
      <c r="N5" s="8"/>
      <c r="Q5" s="8"/>
      <c r="T5" s="8"/>
      <c r="W5" s="8"/>
      <c r="Y5" s="5"/>
      <c r="Z5" s="8"/>
      <c r="AA5" s="7"/>
      <c r="AB5" s="5"/>
      <c r="AC5" s="8"/>
    </row>
    <row r="6" spans="1:29" s="12" customFormat="1" ht="19.5" customHeight="1" x14ac:dyDescent="0.2">
      <c r="A6" s="11" t="s">
        <v>23</v>
      </c>
      <c r="D6" s="68"/>
      <c r="E6" s="14"/>
      <c r="G6" s="68"/>
      <c r="H6" s="14"/>
      <c r="J6" s="68"/>
      <c r="K6" s="14"/>
      <c r="M6" s="68"/>
      <c r="N6" s="14"/>
      <c r="P6" s="68"/>
      <c r="Q6" s="14"/>
      <c r="S6" s="68"/>
      <c r="T6" s="14"/>
      <c r="V6" s="68"/>
      <c r="W6" s="14"/>
      <c r="Y6" s="13"/>
      <c r="Z6" s="14"/>
      <c r="AA6" s="36"/>
      <c r="AB6" s="13"/>
      <c r="AC6" s="14"/>
    </row>
    <row r="7" spans="1:29" x14ac:dyDescent="0.2">
      <c r="A7" t="s">
        <v>25</v>
      </c>
      <c r="E7" s="8">
        <v>0</v>
      </c>
      <c r="H7" s="8">
        <v>0</v>
      </c>
      <c r="K7" s="8">
        <v>0</v>
      </c>
      <c r="N7" s="8">
        <v>0</v>
      </c>
      <c r="Q7" s="8">
        <v>0</v>
      </c>
      <c r="T7" s="8">
        <v>0</v>
      </c>
      <c r="W7" s="8">
        <v>0</v>
      </c>
      <c r="Y7" s="5"/>
      <c r="Z7" s="8">
        <v>0</v>
      </c>
      <c r="AA7" s="7"/>
      <c r="AB7" s="5"/>
      <c r="AC7" s="8">
        <v>0</v>
      </c>
    </row>
    <row r="8" spans="1:29" x14ac:dyDescent="0.2">
      <c r="E8" s="8"/>
      <c r="H8" s="8"/>
      <c r="K8" s="8"/>
      <c r="N8" s="8"/>
      <c r="Q8" s="8"/>
      <c r="T8" s="8"/>
      <c r="W8" s="8"/>
      <c r="Y8" s="5"/>
      <c r="Z8" s="8"/>
      <c r="AA8" s="7"/>
      <c r="AB8" s="5"/>
      <c r="AC8" s="8"/>
    </row>
    <row r="9" spans="1:29" s="12" customFormat="1" ht="19.5" customHeight="1" x14ac:dyDescent="0.2">
      <c r="A9" s="11" t="s">
        <v>24</v>
      </c>
      <c r="D9" s="68"/>
      <c r="E9" s="14"/>
      <c r="G9" s="68"/>
      <c r="H9" s="14"/>
      <c r="J9" s="68"/>
      <c r="K9" s="14"/>
      <c r="M9" s="68"/>
      <c r="N9" s="14"/>
      <c r="P9" s="68"/>
      <c r="Q9" s="14"/>
      <c r="S9" s="68"/>
      <c r="T9" s="14"/>
      <c r="V9" s="68"/>
      <c r="W9" s="14"/>
      <c r="Y9" s="13"/>
      <c r="Z9" s="14"/>
      <c r="AA9" s="36"/>
      <c r="AB9" s="13"/>
      <c r="AC9" s="14"/>
    </row>
    <row r="10" spans="1:29" x14ac:dyDescent="0.2">
      <c r="A10" t="s">
        <v>26</v>
      </c>
      <c r="D10" s="4">
        <f>+'kolommenbalans 2017'!E39+'kolommenbalans 2017'!F39+'kolommenbalans 2017'!G39</f>
        <v>1894.85</v>
      </c>
      <c r="E10" s="15"/>
      <c r="G10" s="4">
        <f>+'balans 2016'!D10</f>
        <v>167.54</v>
      </c>
      <c r="H10" s="15"/>
      <c r="J10" s="4">
        <f>+'balans 2015'!D10</f>
        <v>163.28</v>
      </c>
      <c r="K10" s="15"/>
      <c r="M10" s="4">
        <f>+'kolommenbalans 2014'!E29</f>
        <v>112.35</v>
      </c>
      <c r="N10" s="15"/>
      <c r="P10" s="4">
        <v>99.669999999999987</v>
      </c>
      <c r="Q10" s="15"/>
      <c r="S10" s="4">
        <v>62.07</v>
      </c>
      <c r="T10" s="15"/>
      <c r="V10" s="4">
        <v>69.2</v>
      </c>
      <c r="W10" s="15"/>
      <c r="Y10" s="5">
        <v>0</v>
      </c>
      <c r="Z10" s="15"/>
      <c r="AA10" s="26"/>
      <c r="AB10" s="5">
        <v>0</v>
      </c>
      <c r="AC10" s="15"/>
    </row>
    <row r="11" spans="1:29" ht="13.5" thickBot="1" x14ac:dyDescent="0.25">
      <c r="A11" s="70" t="s">
        <v>427</v>
      </c>
      <c r="D11" s="9">
        <f>+'kolommenbalans 2017'!B39+'kolommenbalans 2017'!C39</f>
        <v>21340.339999999997</v>
      </c>
      <c r="E11" s="8"/>
      <c r="G11" s="9">
        <f>+'balans 2016'!D11</f>
        <v>19843.679999999993</v>
      </c>
      <c r="H11" s="8"/>
      <c r="J11" s="4">
        <f>+'balans 2015'!D11</f>
        <v>21437.119999999995</v>
      </c>
      <c r="K11" s="8"/>
      <c r="M11" s="9">
        <f>+'kolommenbalans 2014'!C29+'kolommenbalans 2014'!D29</f>
        <v>18681.909999999996</v>
      </c>
      <c r="N11" s="8"/>
      <c r="P11" s="9">
        <v>18624.18</v>
      </c>
      <c r="Q11" s="8"/>
      <c r="S11" s="9">
        <v>11168.810000000001</v>
      </c>
      <c r="T11" s="8"/>
      <c r="V11" s="9">
        <v>10533.65</v>
      </c>
      <c r="W11" s="8"/>
      <c r="Y11" s="6">
        <v>6086.88</v>
      </c>
      <c r="Z11" s="8"/>
      <c r="AA11" s="7"/>
      <c r="AB11" s="6">
        <v>635.5</v>
      </c>
      <c r="AC11" s="8"/>
    </row>
    <row r="12" spans="1:29" ht="13.5" thickBot="1" x14ac:dyDescent="0.25">
      <c r="E12" s="16">
        <f>+D11+D10</f>
        <v>23235.189999999995</v>
      </c>
      <c r="H12" s="16">
        <f>+G11+G10</f>
        <v>20011.219999999994</v>
      </c>
      <c r="K12" s="16">
        <f>+J11+J10</f>
        <v>21600.399999999994</v>
      </c>
      <c r="N12" s="16">
        <f>+M11+M10</f>
        <v>18794.259999999995</v>
      </c>
      <c r="Q12" s="16">
        <v>18723.849999999999</v>
      </c>
      <c r="T12" s="16">
        <v>11230.880000000001</v>
      </c>
      <c r="W12" s="16">
        <v>10602.85</v>
      </c>
      <c r="Y12" s="5"/>
      <c r="Z12" s="16">
        <v>6086.88</v>
      </c>
      <c r="AA12" s="7"/>
      <c r="AB12" s="5"/>
      <c r="AC12" s="16">
        <v>635.5</v>
      </c>
    </row>
    <row r="13" spans="1:29" ht="19.5" customHeight="1" x14ac:dyDescent="0.2">
      <c r="A13" s="3"/>
      <c r="C13" s="29" t="s">
        <v>55</v>
      </c>
      <c r="D13" s="30"/>
      <c r="E13" s="18">
        <f>+E12+E7</f>
        <v>23235.189999999995</v>
      </c>
      <c r="F13" s="29"/>
      <c r="G13" s="30"/>
      <c r="H13" s="18">
        <f>+H12+H7</f>
        <v>20011.219999999994</v>
      </c>
      <c r="I13" s="29"/>
      <c r="J13" s="30"/>
      <c r="K13" s="18">
        <f>+K12+K7</f>
        <v>21600.399999999994</v>
      </c>
      <c r="L13" s="29"/>
      <c r="M13" s="30"/>
      <c r="N13" s="18">
        <f>+N12+N7</f>
        <v>18794.259999999995</v>
      </c>
      <c r="O13" s="29"/>
      <c r="P13" s="30"/>
      <c r="Q13" s="18">
        <v>18723.849999999999</v>
      </c>
      <c r="R13" s="29"/>
      <c r="S13" s="30"/>
      <c r="T13" s="18">
        <v>11230.880000000001</v>
      </c>
      <c r="U13" s="29"/>
      <c r="V13" s="30"/>
      <c r="W13" s="18">
        <v>10602.85</v>
      </c>
      <c r="X13" s="29"/>
      <c r="Y13" s="7"/>
      <c r="Z13" s="18">
        <v>6086.88</v>
      </c>
      <c r="AA13" s="37"/>
      <c r="AB13" s="7"/>
      <c r="AC13" s="18">
        <v>635.5</v>
      </c>
    </row>
    <row r="14" spans="1:29" x14ac:dyDescent="0.2">
      <c r="E14" s="8"/>
      <c r="H14" s="8"/>
      <c r="K14" s="8"/>
      <c r="N14" s="8"/>
      <c r="Q14" s="8"/>
      <c r="T14" s="8"/>
      <c r="W14" s="8"/>
      <c r="Y14" s="5"/>
      <c r="Z14" s="8"/>
      <c r="AA14" s="7"/>
      <c r="AB14" s="5"/>
      <c r="AC14" s="8"/>
    </row>
    <row r="15" spans="1:29" ht="15.75" x14ac:dyDescent="0.25">
      <c r="A15" s="2" t="s">
        <v>22</v>
      </c>
      <c r="E15" s="8"/>
      <c r="H15" s="8"/>
      <c r="K15" s="8"/>
      <c r="N15" s="8"/>
      <c r="Q15" s="8"/>
      <c r="T15" s="8"/>
      <c r="W15" s="8"/>
      <c r="Y15" s="5"/>
      <c r="Z15" s="8"/>
      <c r="AA15" s="7"/>
      <c r="AB15" s="5"/>
      <c r="AC15" s="8"/>
    </row>
    <row r="16" spans="1:29" ht="19.5" customHeight="1" x14ac:dyDescent="0.2">
      <c r="A16" s="11" t="s">
        <v>29</v>
      </c>
      <c r="E16" s="8"/>
      <c r="H16" s="8"/>
      <c r="K16" s="8"/>
      <c r="N16" s="8"/>
      <c r="Q16" s="8"/>
      <c r="T16" s="8"/>
      <c r="W16" s="8"/>
      <c r="Y16" s="5"/>
      <c r="Z16" s="8"/>
      <c r="AA16" s="7"/>
      <c r="AB16" s="5"/>
      <c r="AC16" s="8"/>
    </row>
    <row r="17" spans="1:32" x14ac:dyDescent="0.2">
      <c r="A17" t="s">
        <v>28</v>
      </c>
      <c r="D17" s="5">
        <f>+E13-D18</f>
        <v>12645.189999999995</v>
      </c>
      <c r="E17" s="8"/>
      <c r="G17" s="5">
        <f>+'balans 2016'!D17</f>
        <v>4230.5700000000015</v>
      </c>
      <c r="H17" s="8"/>
      <c r="J17" s="5">
        <f>-'balans 2015'!D17</f>
        <v>14848.090000000002</v>
      </c>
      <c r="K17" s="8"/>
      <c r="M17" s="5">
        <f>-'kolommenbalans 2014'!F29</f>
        <v>12794.26</v>
      </c>
      <c r="N17" s="8"/>
      <c r="P17" s="5">
        <v>11223.85</v>
      </c>
      <c r="Q17" s="8"/>
      <c r="S17" s="5">
        <v>635.5</v>
      </c>
      <c r="T17" s="8"/>
      <c r="V17" s="5">
        <v>635.5</v>
      </c>
      <c r="W17" s="8"/>
      <c r="Y17" s="5">
        <v>635.5</v>
      </c>
      <c r="Z17" s="8"/>
      <c r="AA17" s="7"/>
      <c r="AB17" s="5">
        <v>635.5</v>
      </c>
      <c r="AC17" s="8"/>
    </row>
    <row r="18" spans="1:32" x14ac:dyDescent="0.2">
      <c r="A18" s="70" t="s">
        <v>428</v>
      </c>
      <c r="D18" s="5">
        <f>-'kolommenbalans 2017'!I39</f>
        <v>10590</v>
      </c>
      <c r="E18" s="8"/>
      <c r="G18" s="5">
        <f>+'balans 2016'!D18</f>
        <v>15780.65</v>
      </c>
      <c r="H18" s="8"/>
      <c r="J18" s="5">
        <f>-'balans 2015'!D18</f>
        <v>6752.3099999999995</v>
      </c>
      <c r="K18" s="8"/>
      <c r="M18" s="5">
        <f>-'kolommenbalans 2014'!G29</f>
        <v>6000</v>
      </c>
      <c r="N18" s="8"/>
      <c r="P18" s="5">
        <v>7500</v>
      </c>
      <c r="Q18" s="8"/>
      <c r="S18" s="5">
        <v>1460</v>
      </c>
      <c r="T18" s="8"/>
      <c r="V18" s="5">
        <v>3130</v>
      </c>
      <c r="W18" s="8"/>
      <c r="Y18" s="5">
        <v>0</v>
      </c>
      <c r="Z18" s="8"/>
      <c r="AA18" s="7"/>
      <c r="AB18" s="5">
        <v>0</v>
      </c>
      <c r="AC18" s="8"/>
    </row>
    <row r="19" spans="1:32" ht="13.5" thickBot="1" x14ac:dyDescent="0.25">
      <c r="A19" t="s">
        <v>17</v>
      </c>
      <c r="D19" s="9">
        <v>0</v>
      </c>
      <c r="E19" s="8"/>
      <c r="G19" s="9">
        <v>0</v>
      </c>
      <c r="H19" s="8"/>
      <c r="J19" s="9">
        <v>0</v>
      </c>
      <c r="K19" s="8"/>
      <c r="M19" s="9">
        <v>0</v>
      </c>
      <c r="N19" s="8"/>
      <c r="P19" s="9">
        <v>0</v>
      </c>
      <c r="Q19" s="8"/>
      <c r="S19" s="9">
        <v>7458.3500000000013</v>
      </c>
      <c r="T19" s="8"/>
      <c r="V19" s="9">
        <v>-41.450000000000728</v>
      </c>
      <c r="W19" s="8"/>
      <c r="Y19" s="6">
        <v>2458.5500000000002</v>
      </c>
      <c r="Z19" s="8"/>
      <c r="AA19" s="7"/>
      <c r="AB19" s="6">
        <v>0</v>
      </c>
      <c r="AC19" s="8"/>
    </row>
    <row r="20" spans="1:32" s="12" customFormat="1" ht="13.5" customHeight="1" x14ac:dyDescent="0.2">
      <c r="D20" s="68"/>
      <c r="E20" s="49">
        <f>+D19+D17+D18</f>
        <v>23235.189999999995</v>
      </c>
      <c r="G20" s="68"/>
      <c r="H20" s="49">
        <f>+G19+G17+G18</f>
        <v>20011.22</v>
      </c>
      <c r="J20" s="68"/>
      <c r="K20" s="49">
        <f>+J19+J17+J18</f>
        <v>21600.400000000001</v>
      </c>
      <c r="M20" s="68"/>
      <c r="N20" s="49">
        <f>+M19+M17+M18</f>
        <v>18794.260000000002</v>
      </c>
      <c r="P20" s="68"/>
      <c r="Q20" s="49">
        <v>18723.849999999999</v>
      </c>
      <c r="S20" s="68"/>
      <c r="T20" s="49">
        <v>9553.8500000000022</v>
      </c>
      <c r="V20" s="68"/>
      <c r="W20" s="49">
        <v>3724.0499999999993</v>
      </c>
      <c r="Y20" s="13"/>
      <c r="Z20" s="49">
        <v>3094.05</v>
      </c>
      <c r="AA20" s="50"/>
      <c r="AB20" s="50"/>
      <c r="AC20" s="49">
        <v>635.5</v>
      </c>
    </row>
    <row r="21" spans="1:32" x14ac:dyDescent="0.2">
      <c r="E21" s="8"/>
      <c r="H21" s="8"/>
      <c r="K21" s="8"/>
      <c r="N21" s="8"/>
      <c r="Q21" s="8"/>
      <c r="T21" s="8"/>
      <c r="W21" s="8"/>
      <c r="Y21" s="5"/>
      <c r="Z21" s="8"/>
      <c r="AA21" s="7"/>
      <c r="AB21" s="5"/>
      <c r="AC21" s="8"/>
    </row>
    <row r="22" spans="1:32" s="12" customFormat="1" ht="13.5" thickBot="1" x14ac:dyDescent="0.25">
      <c r="A22" s="11" t="s">
        <v>30</v>
      </c>
      <c r="E22" s="16">
        <v>0</v>
      </c>
      <c r="H22" s="16">
        <v>0</v>
      </c>
      <c r="K22" s="16">
        <v>0</v>
      </c>
      <c r="N22" s="16">
        <v>0</v>
      </c>
      <c r="Q22" s="16">
        <v>0</v>
      </c>
      <c r="T22" s="16">
        <v>1677.0299999999997</v>
      </c>
      <c r="W22" s="16">
        <v>6879</v>
      </c>
      <c r="Y22" s="13"/>
      <c r="Z22" s="51">
        <v>2993.0299999999997</v>
      </c>
      <c r="AA22" s="36"/>
      <c r="AB22" s="13"/>
      <c r="AC22" s="17">
        <v>0</v>
      </c>
    </row>
    <row r="23" spans="1:32" ht="19.5" customHeight="1" x14ac:dyDescent="0.2">
      <c r="C23" s="29" t="s">
        <v>55</v>
      </c>
      <c r="D23" s="30"/>
      <c r="E23" s="18">
        <f>+E20</f>
        <v>23235.189999999995</v>
      </c>
      <c r="F23" s="29"/>
      <c r="G23" s="30"/>
      <c r="H23" s="18">
        <f>+H20</f>
        <v>20011.22</v>
      </c>
      <c r="I23" s="29"/>
      <c r="J23" s="30"/>
      <c r="K23" s="18">
        <f>+K20</f>
        <v>21600.400000000001</v>
      </c>
      <c r="L23" s="29"/>
      <c r="M23" s="30"/>
      <c r="N23" s="18">
        <f>+N20+N22</f>
        <v>18794.260000000002</v>
      </c>
      <c r="O23" s="29"/>
      <c r="P23" s="30"/>
      <c r="Q23" s="18">
        <v>18723.849999999999</v>
      </c>
      <c r="R23" s="29"/>
      <c r="S23" s="30"/>
      <c r="T23" s="18">
        <v>11230.880000000001</v>
      </c>
      <c r="U23" s="29"/>
      <c r="V23" s="30"/>
      <c r="W23" s="18">
        <v>10603.05</v>
      </c>
      <c r="X23" s="29"/>
      <c r="Y23" s="5"/>
      <c r="Z23" s="18">
        <v>6087.08</v>
      </c>
      <c r="AA23" s="37"/>
      <c r="AB23" s="5"/>
      <c r="AC23" s="18">
        <v>635.5</v>
      </c>
    </row>
    <row r="24" spans="1:32" ht="19.5" customHeight="1" x14ac:dyDescent="0.2">
      <c r="E24" s="18"/>
      <c r="H24" s="18"/>
      <c r="K24" s="18"/>
      <c r="N24" s="18"/>
      <c r="Q24" s="18"/>
      <c r="T24" s="18"/>
      <c r="W24" s="18"/>
      <c r="Y24" s="5"/>
      <c r="Z24" s="18"/>
      <c r="AA24" s="37"/>
      <c r="AB24" s="5"/>
      <c r="AC24" s="18"/>
    </row>
    <row r="25" spans="1:32" ht="19.5" customHeight="1" x14ac:dyDescent="0.2">
      <c r="E25" s="18"/>
      <c r="H25" s="18"/>
      <c r="K25" s="18"/>
      <c r="N25" s="18"/>
      <c r="Q25" s="18"/>
      <c r="T25" s="18"/>
      <c r="W25" s="18"/>
      <c r="Y25" s="5"/>
      <c r="Z25" s="18"/>
      <c r="AA25" s="37"/>
      <c r="AB25" s="5"/>
      <c r="AC25" s="18"/>
    </row>
    <row r="26" spans="1:32" x14ac:dyDescent="0.2">
      <c r="Y26" s="5"/>
      <c r="Z26" s="7"/>
      <c r="AA26" s="7"/>
      <c r="AB26" s="5"/>
      <c r="AC26" s="7"/>
    </row>
    <row r="27" spans="1:32" x14ac:dyDescent="0.2">
      <c r="E27" s="52"/>
      <c r="H27" s="52"/>
      <c r="K27" s="52"/>
      <c r="N27" s="52"/>
      <c r="Q27" s="52"/>
      <c r="T27" s="52"/>
      <c r="W27" s="52"/>
    </row>
    <row r="28" spans="1:32" x14ac:dyDescent="0.2">
      <c r="A28" t="s">
        <v>31</v>
      </c>
      <c r="C28" t="s">
        <v>495</v>
      </c>
      <c r="Z28" s="22"/>
      <c r="AA28" s="22"/>
      <c r="AC28" s="22"/>
    </row>
    <row r="29" spans="1:32" x14ac:dyDescent="0.2">
      <c r="A29" s="70" t="s">
        <v>470</v>
      </c>
      <c r="AF29" s="12"/>
    </row>
    <row r="30" spans="1:32" x14ac:dyDescent="0.2">
      <c r="A30" t="s">
        <v>471</v>
      </c>
    </row>
  </sheetData>
  <mergeCells count="18">
    <mergeCell ref="AB3:AC3"/>
    <mergeCell ref="G4:H4"/>
    <mergeCell ref="J4:K4"/>
    <mergeCell ref="M4:N4"/>
    <mergeCell ref="P4:Q4"/>
    <mergeCell ref="S4:T4"/>
    <mergeCell ref="V4:W4"/>
    <mergeCell ref="Y4:Z4"/>
    <mergeCell ref="AB4:AC4"/>
    <mergeCell ref="G3:H3"/>
    <mergeCell ref="J3:K3"/>
    <mergeCell ref="M3:N3"/>
    <mergeCell ref="P3:Q3"/>
    <mergeCell ref="S3:T3"/>
    <mergeCell ref="V3:W3"/>
    <mergeCell ref="D3:E3"/>
    <mergeCell ref="D4:E4"/>
    <mergeCell ref="Y3:Z3"/>
  </mergeCells>
  <phoneticPr fontId="6" type="noConversion"/>
  <pageMargins left="0.75" right="0.5" top="0.98" bottom="0.98" header="0.51" footer="0.51"/>
  <pageSetup scale="75" orientation="landscape"/>
  <headerFooter alignWithMargins="0">
    <oddFooter>&amp;L&amp;F, &amp;A&amp;R&amp;D</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B75"/>
  <sheetViews>
    <sheetView topLeftCell="A29" zoomScaleNormal="100" workbookViewId="0">
      <selection activeCell="Q40" sqref="Q40"/>
    </sheetView>
  </sheetViews>
  <sheetFormatPr defaultColWidth="8.85546875" defaultRowHeight="12.75" x14ac:dyDescent="0.2"/>
  <cols>
    <col min="1" max="1" width="2.42578125" customWidth="1"/>
    <col min="2" max="2" width="6.85546875" customWidth="1"/>
    <col min="3" max="3" width="25.85546875" customWidth="1"/>
    <col min="4" max="4" width="10.28515625" style="32" customWidth="1"/>
    <col min="5" max="5" width="10.28515625" bestFit="1" customWidth="1"/>
    <col min="6" max="6" width="2.42578125" customWidth="1"/>
    <col min="7" max="7" width="10.28515625" style="32" customWidth="1"/>
    <col min="8" max="8" width="10.28515625" bestFit="1" customWidth="1"/>
    <col min="9" max="9" width="2.42578125" customWidth="1"/>
    <col min="10" max="10" width="10.28515625" style="32" customWidth="1"/>
    <col min="12" max="12" width="2.42578125" customWidth="1"/>
    <col min="13" max="13" width="9.140625" style="4" customWidth="1"/>
    <col min="15" max="15" width="2.42578125" customWidth="1"/>
    <col min="17" max="17" width="10.28515625" bestFit="1" customWidth="1"/>
    <col min="18" max="18" width="2.42578125" customWidth="1"/>
    <col min="21" max="21" width="2.42578125" customWidth="1"/>
    <col min="22" max="22" width="9.140625" style="5" customWidth="1"/>
    <col min="24" max="24" width="2.42578125" customWidth="1"/>
    <col min="26" max="26" width="10.28515625" customWidth="1"/>
    <col min="27" max="27" width="20.42578125" customWidth="1"/>
  </cols>
  <sheetData>
    <row r="1" spans="1:26" ht="20.25" x14ac:dyDescent="0.3">
      <c r="A1" s="10" t="s">
        <v>74</v>
      </c>
    </row>
    <row r="3" spans="1:26" x14ac:dyDescent="0.2">
      <c r="D3" s="249" t="s">
        <v>439</v>
      </c>
      <c r="E3" s="236"/>
      <c r="F3" s="27"/>
      <c r="G3" s="249" t="s">
        <v>369</v>
      </c>
      <c r="H3" s="236"/>
      <c r="I3" s="27"/>
      <c r="J3" s="249" t="s">
        <v>343</v>
      </c>
      <c r="K3" s="236"/>
      <c r="L3" s="27"/>
      <c r="M3" s="249" t="s">
        <v>290</v>
      </c>
      <c r="N3" s="236"/>
      <c r="O3" s="27"/>
      <c r="P3" s="249" t="s">
        <v>244</v>
      </c>
      <c r="Q3" s="236"/>
      <c r="R3" s="27"/>
      <c r="S3" s="249" t="s">
        <v>230</v>
      </c>
      <c r="T3" s="236"/>
      <c r="U3" s="27"/>
      <c r="V3" s="250" t="s">
        <v>368</v>
      </c>
      <c r="W3" s="236"/>
      <c r="Y3" s="251" t="s">
        <v>75</v>
      </c>
      <c r="Z3" s="236"/>
    </row>
    <row r="4" spans="1:26" x14ac:dyDescent="0.2">
      <c r="D4" s="232" t="s">
        <v>73</v>
      </c>
      <c r="E4" s="231"/>
      <c r="F4" s="28"/>
      <c r="G4" s="232" t="s">
        <v>73</v>
      </c>
      <c r="H4" s="231"/>
      <c r="I4" s="28"/>
      <c r="J4" s="232" t="s">
        <v>73</v>
      </c>
      <c r="K4" s="231"/>
      <c r="L4" s="28"/>
      <c r="M4" s="232" t="s">
        <v>73</v>
      </c>
      <c r="N4" s="231"/>
      <c r="O4" s="28"/>
      <c r="P4" s="232" t="s">
        <v>73</v>
      </c>
      <c r="Q4" s="231"/>
      <c r="R4" s="28"/>
      <c r="S4" s="232" t="s">
        <v>73</v>
      </c>
      <c r="T4" s="231"/>
      <c r="U4" s="28"/>
      <c r="V4" s="232" t="s">
        <v>73</v>
      </c>
      <c r="W4" s="231"/>
      <c r="Y4" s="232" t="s">
        <v>73</v>
      </c>
      <c r="Z4" s="231"/>
    </row>
    <row r="5" spans="1:26" ht="15.75" x14ac:dyDescent="0.25">
      <c r="A5" s="2" t="s">
        <v>0</v>
      </c>
      <c r="D5" s="44"/>
      <c r="E5" s="8"/>
      <c r="F5" s="7"/>
      <c r="G5" s="44"/>
      <c r="H5" s="8"/>
      <c r="I5" s="7"/>
      <c r="J5" s="44"/>
      <c r="K5" s="8"/>
      <c r="L5" s="7"/>
      <c r="M5" s="5"/>
      <c r="N5" s="8"/>
      <c r="O5" s="7"/>
      <c r="P5" s="5"/>
      <c r="Q5" s="8"/>
      <c r="R5" s="7"/>
      <c r="S5" s="5"/>
      <c r="T5" s="8"/>
      <c r="U5" s="7"/>
      <c r="W5" s="8"/>
      <c r="Y5" s="5"/>
      <c r="Z5" s="8"/>
    </row>
    <row r="6" spans="1:26" x14ac:dyDescent="0.2">
      <c r="A6" t="s">
        <v>11</v>
      </c>
      <c r="D6" s="32">
        <f>-'kolommenbalans 2017'!L26-'kolommenbalans 2017'!L31</f>
        <v>20251.940000000002</v>
      </c>
      <c r="E6" s="8"/>
      <c r="F6" s="7"/>
      <c r="G6" s="32">
        <f>+'winst en verlies 2016'!D6</f>
        <v>18100</v>
      </c>
      <c r="H6" s="8"/>
      <c r="I6" s="7"/>
      <c r="J6" s="32">
        <v>21500</v>
      </c>
      <c r="K6" s="8"/>
      <c r="L6" s="7"/>
      <c r="M6" s="4">
        <f>-'kolommenbalans 2014'!I17</f>
        <v>7500</v>
      </c>
      <c r="N6" s="8"/>
      <c r="O6" s="7"/>
      <c r="Q6" s="8"/>
      <c r="R6" s="7"/>
      <c r="T6" s="8"/>
      <c r="U6" s="7"/>
      <c r="V6" s="5">
        <v>7500</v>
      </c>
      <c r="W6" s="8"/>
      <c r="Z6" s="8"/>
    </row>
    <row r="7" spans="1:26" x14ac:dyDescent="0.2">
      <c r="A7" t="s">
        <v>1</v>
      </c>
      <c r="D7" s="32">
        <v>0</v>
      </c>
      <c r="E7" s="8"/>
      <c r="F7" s="7"/>
      <c r="G7" s="32">
        <f>+'winst en verlies 2016'!D7</f>
        <v>0</v>
      </c>
      <c r="H7" s="8"/>
      <c r="I7" s="7"/>
      <c r="J7" s="32">
        <v>0</v>
      </c>
      <c r="K7" s="8"/>
      <c r="L7" s="7"/>
      <c r="M7" s="5">
        <v>0</v>
      </c>
      <c r="N7" s="8"/>
      <c r="O7" s="7"/>
      <c r="P7" s="5">
        <v>0</v>
      </c>
      <c r="Q7" s="8"/>
      <c r="R7" s="7"/>
      <c r="S7" s="5">
        <v>0</v>
      </c>
      <c r="T7" s="8"/>
      <c r="U7" s="7"/>
      <c r="V7" s="5">
        <v>0</v>
      </c>
      <c r="W7" s="8"/>
      <c r="Y7" s="5">
        <v>0</v>
      </c>
      <c r="Z7" s="8"/>
    </row>
    <row r="8" spans="1:26" x14ac:dyDescent="0.2">
      <c r="A8" t="s">
        <v>2</v>
      </c>
      <c r="D8" s="32">
        <v>0</v>
      </c>
      <c r="E8" s="8"/>
      <c r="F8" s="7"/>
      <c r="G8" s="32">
        <f>+'winst en verlies 2016'!D8</f>
        <v>0</v>
      </c>
      <c r="H8" s="8"/>
      <c r="I8" s="7"/>
      <c r="J8" s="32">
        <v>0</v>
      </c>
      <c r="K8" s="8"/>
      <c r="L8" s="7"/>
      <c r="M8" s="5">
        <v>0</v>
      </c>
      <c r="N8" s="8"/>
      <c r="O8" s="7"/>
      <c r="P8" s="5">
        <v>7500</v>
      </c>
      <c r="Q8" s="8"/>
      <c r="R8" s="7"/>
      <c r="S8" s="5">
        <v>7500</v>
      </c>
      <c r="T8" s="8"/>
      <c r="U8" s="7"/>
      <c r="W8" s="8"/>
      <c r="Y8" s="5">
        <v>7500</v>
      </c>
      <c r="Z8" s="8"/>
    </row>
    <row r="9" spans="1:26" x14ac:dyDescent="0.2">
      <c r="A9" s="70" t="s">
        <v>432</v>
      </c>
      <c r="D9" s="32">
        <f>-'kolommenbalans 2017'!L29</f>
        <v>173.56</v>
      </c>
      <c r="E9" s="8"/>
      <c r="F9" s="7"/>
      <c r="G9" s="32">
        <f>+'winst en verlies 2016'!D9</f>
        <v>334.53999999999996</v>
      </c>
      <c r="H9" s="8"/>
      <c r="I9" s="7"/>
      <c r="K9" s="8"/>
      <c r="L9" s="7"/>
      <c r="M9" s="5"/>
      <c r="N9" s="8"/>
      <c r="O9" s="7"/>
      <c r="P9" s="5"/>
      <c r="Q9" s="8"/>
      <c r="R9" s="7"/>
      <c r="S9" s="5"/>
      <c r="T9" s="8"/>
      <c r="U9" s="7"/>
      <c r="W9" s="8"/>
      <c r="Y9" s="5"/>
      <c r="Z9" s="8"/>
    </row>
    <row r="10" spans="1:26" ht="13.5" thickBot="1" x14ac:dyDescent="0.25">
      <c r="A10" s="70" t="s">
        <v>431</v>
      </c>
      <c r="D10" s="103">
        <f>-'kolommenbalans 2017'!M24</f>
        <v>14.62</v>
      </c>
      <c r="E10" s="8"/>
      <c r="F10" s="7"/>
      <c r="G10" s="103">
        <f>+'winst en verlies 2016'!D10</f>
        <v>32.479999999999997</v>
      </c>
      <c r="H10" s="8"/>
      <c r="I10" s="7"/>
      <c r="J10" s="103">
        <v>217.11</v>
      </c>
      <c r="K10" s="8"/>
      <c r="L10" s="7"/>
      <c r="M10" s="6">
        <f>-'kolommenbalans 2014'!J15-'kolommenbalans 2014'!K20</f>
        <v>182.76</v>
      </c>
      <c r="N10" s="8"/>
      <c r="O10" s="7"/>
      <c r="P10" s="6">
        <f>+'kolommenbalans 2014'!K17</f>
        <v>112.35</v>
      </c>
      <c r="Q10" s="8"/>
      <c r="R10" s="7"/>
      <c r="S10" s="6">
        <v>62</v>
      </c>
      <c r="T10" s="8"/>
      <c r="U10" s="7"/>
      <c r="V10" s="6">
        <f>+'meerjarenbegroting '!F8</f>
        <v>100</v>
      </c>
      <c r="W10" s="8"/>
      <c r="Y10" s="6">
        <v>86.56</v>
      </c>
      <c r="Z10" s="8"/>
    </row>
    <row r="11" spans="1:26" ht="19.5" customHeight="1" x14ac:dyDescent="0.2">
      <c r="A11" s="3" t="s">
        <v>3</v>
      </c>
      <c r="D11" s="86"/>
      <c r="E11" s="8">
        <f>SUM(D6:D10)</f>
        <v>20440.120000000003</v>
      </c>
      <c r="F11" s="7"/>
      <c r="G11" s="86"/>
      <c r="H11" s="8">
        <f>SUM(G6:G10)</f>
        <v>18467.02</v>
      </c>
      <c r="I11" s="7"/>
      <c r="J11" s="86"/>
      <c r="K11" s="8">
        <v>21717.11</v>
      </c>
      <c r="L11" s="7"/>
      <c r="M11" s="7"/>
      <c r="N11" s="8">
        <f>SUM(M6:M10)</f>
        <v>7682.76</v>
      </c>
      <c r="O11" s="7"/>
      <c r="P11" s="7"/>
      <c r="Q11" s="8">
        <f>SUM(P7:P10)</f>
        <v>7612.35</v>
      </c>
      <c r="R11" s="7"/>
      <c r="S11" s="7"/>
      <c r="T11" s="8">
        <f>SUM(S7:S10)</f>
        <v>7562</v>
      </c>
      <c r="U11" s="7"/>
      <c r="V11" s="7"/>
      <c r="W11" s="8">
        <f>SUM(V6:V10)</f>
        <v>7600</v>
      </c>
      <c r="Y11" s="7"/>
      <c r="Z11" s="8">
        <v>7586.56</v>
      </c>
    </row>
    <row r="12" spans="1:26" x14ac:dyDescent="0.2">
      <c r="D12" s="44"/>
      <c r="E12" s="8"/>
      <c r="F12" s="7"/>
      <c r="G12" s="44"/>
      <c r="H12" s="8"/>
      <c r="I12" s="7"/>
      <c r="J12" s="44"/>
      <c r="K12" s="8"/>
      <c r="L12" s="7"/>
      <c r="M12" s="5"/>
      <c r="N12" s="8"/>
      <c r="O12" s="7"/>
      <c r="P12" s="5"/>
      <c r="Q12" s="8"/>
      <c r="R12" s="7"/>
      <c r="S12" s="5"/>
      <c r="T12" s="8"/>
      <c r="U12" s="7"/>
      <c r="W12" s="8"/>
      <c r="Y12" s="5"/>
      <c r="Z12" s="8"/>
    </row>
    <row r="13" spans="1:26" x14ac:dyDescent="0.2">
      <c r="A13" t="s">
        <v>4</v>
      </c>
      <c r="D13" s="44">
        <v>0</v>
      </c>
      <c r="E13" s="8"/>
      <c r="F13" s="7"/>
      <c r="G13" s="44">
        <v>0</v>
      </c>
      <c r="H13" s="8"/>
      <c r="I13" s="7"/>
      <c r="J13" s="44">
        <v>0</v>
      </c>
      <c r="K13" s="8"/>
      <c r="L13" s="7"/>
      <c r="M13" s="5">
        <v>0</v>
      </c>
      <c r="N13" s="8"/>
      <c r="O13" s="7"/>
      <c r="P13" s="5">
        <v>0</v>
      </c>
      <c r="Q13" s="8"/>
      <c r="R13" s="7"/>
      <c r="S13" s="5">
        <v>0</v>
      </c>
      <c r="T13" s="8"/>
      <c r="U13" s="7"/>
      <c r="V13" s="5">
        <v>0</v>
      </c>
      <c r="W13" s="8"/>
      <c r="Y13" s="5">
        <v>0</v>
      </c>
      <c r="Z13" s="8"/>
    </row>
    <row r="14" spans="1:26" ht="13.5" thickBot="1" x14ac:dyDescent="0.25">
      <c r="A14" t="s">
        <v>5</v>
      </c>
      <c r="D14" s="85">
        <v>0</v>
      </c>
      <c r="E14" s="8"/>
      <c r="F14" s="7"/>
      <c r="G14" s="85">
        <v>0</v>
      </c>
      <c r="H14" s="8"/>
      <c r="I14" s="7"/>
      <c r="J14" s="85">
        <v>0</v>
      </c>
      <c r="K14" s="8"/>
      <c r="L14" s="7"/>
      <c r="M14" s="6">
        <v>0</v>
      </c>
      <c r="N14" s="8"/>
      <c r="O14" s="7"/>
      <c r="P14" s="6">
        <v>0</v>
      </c>
      <c r="Q14" s="8"/>
      <c r="R14" s="7"/>
      <c r="S14" s="6">
        <v>0</v>
      </c>
      <c r="T14" s="8"/>
      <c r="U14" s="7"/>
      <c r="V14" s="6">
        <v>0</v>
      </c>
      <c r="W14" s="8"/>
      <c r="Y14" s="6">
        <v>0</v>
      </c>
      <c r="Z14" s="8"/>
    </row>
    <row r="15" spans="1:26" ht="19.5" customHeight="1" x14ac:dyDescent="0.2">
      <c r="A15" s="3" t="s">
        <v>6</v>
      </c>
      <c r="D15" s="86"/>
      <c r="E15" s="8">
        <f>-SUM(D13:D14)</f>
        <v>0</v>
      </c>
      <c r="F15" s="7"/>
      <c r="G15" s="86"/>
      <c r="H15" s="8">
        <f>-SUM(G13:G14)</f>
        <v>0</v>
      </c>
      <c r="I15" s="7"/>
      <c r="J15" s="86"/>
      <c r="K15" s="8">
        <v>0</v>
      </c>
      <c r="L15" s="7"/>
      <c r="M15" s="7"/>
      <c r="N15" s="8">
        <f>-SUM(M13:M14)</f>
        <v>0</v>
      </c>
      <c r="O15" s="7"/>
      <c r="P15" s="7"/>
      <c r="Q15" s="8">
        <f>-SUM(P13:P14)</f>
        <v>0</v>
      </c>
      <c r="R15" s="7"/>
      <c r="S15" s="7"/>
      <c r="T15" s="8">
        <f>-SUM(S13:S14)</f>
        <v>0</v>
      </c>
      <c r="U15" s="7"/>
      <c r="V15" s="7"/>
      <c r="W15" s="8">
        <f>-SUM(V13:V14)</f>
        <v>0</v>
      </c>
      <c r="Y15" s="7"/>
      <c r="Z15" s="8">
        <v>0</v>
      </c>
    </row>
    <row r="16" spans="1:26" ht="13.5" thickBot="1" x14ac:dyDescent="0.25">
      <c r="A16" t="s">
        <v>14</v>
      </c>
      <c r="D16" s="44"/>
      <c r="E16" s="19">
        <f>+E15/E11</f>
        <v>0</v>
      </c>
      <c r="F16" s="26"/>
      <c r="G16" s="44"/>
      <c r="H16" s="19">
        <f>+H15/H11</f>
        <v>0</v>
      </c>
      <c r="I16" s="26"/>
      <c r="J16" s="44"/>
      <c r="K16" s="19">
        <v>0</v>
      </c>
      <c r="L16" s="26"/>
      <c r="M16" s="5"/>
      <c r="N16" s="19">
        <f>+N15/N11</f>
        <v>0</v>
      </c>
      <c r="O16" s="26"/>
      <c r="P16" s="5"/>
      <c r="Q16" s="19">
        <f>+Q15/Q11</f>
        <v>0</v>
      </c>
      <c r="R16" s="26"/>
      <c r="S16" s="5"/>
      <c r="T16" s="19">
        <f>+T15/T11</f>
        <v>0</v>
      </c>
      <c r="U16" s="26"/>
      <c r="W16" s="19">
        <f>+W15/W11</f>
        <v>0</v>
      </c>
      <c r="Y16" s="5"/>
      <c r="Z16" s="19">
        <v>0</v>
      </c>
    </row>
    <row r="17" spans="1:28" ht="19.5" customHeight="1" x14ac:dyDescent="0.2">
      <c r="A17" s="3" t="s">
        <v>8</v>
      </c>
      <c r="D17" s="86"/>
      <c r="E17" s="8">
        <f>+E11+E15</f>
        <v>20440.120000000003</v>
      </c>
      <c r="F17" s="7"/>
      <c r="G17" s="86"/>
      <c r="H17" s="8">
        <f>+H11+H15</f>
        <v>18467.02</v>
      </c>
      <c r="I17" s="7"/>
      <c r="J17" s="86"/>
      <c r="K17" s="8">
        <v>21717.11</v>
      </c>
      <c r="L17" s="7"/>
      <c r="M17" s="7"/>
      <c r="N17" s="8">
        <f>+N11+N15</f>
        <v>7682.76</v>
      </c>
      <c r="O17" s="7"/>
      <c r="P17" s="7"/>
      <c r="Q17" s="8">
        <f>+Q11+Q15</f>
        <v>7612.35</v>
      </c>
      <c r="R17" s="7"/>
      <c r="S17" s="7"/>
      <c r="T17" s="8">
        <f>+T11+T15</f>
        <v>7562</v>
      </c>
      <c r="U17" s="7"/>
      <c r="V17" s="7"/>
      <c r="W17" s="8">
        <f>+W11+W15</f>
        <v>7600</v>
      </c>
      <c r="Y17" s="7"/>
      <c r="Z17" s="8">
        <v>7586.56</v>
      </c>
    </row>
    <row r="18" spans="1:28" ht="13.5" thickBot="1" x14ac:dyDescent="0.25">
      <c r="A18" t="s">
        <v>7</v>
      </c>
      <c r="D18" s="44"/>
      <c r="E18" s="16">
        <v>0</v>
      </c>
      <c r="F18" s="7"/>
      <c r="G18" s="44"/>
      <c r="H18" s="16">
        <v>0</v>
      </c>
      <c r="I18" s="7"/>
      <c r="J18" s="44"/>
      <c r="K18" s="16">
        <v>0</v>
      </c>
      <c r="L18" s="7"/>
      <c r="M18" s="5"/>
      <c r="N18" s="16">
        <v>0</v>
      </c>
      <c r="O18" s="7"/>
      <c r="P18" s="5"/>
      <c r="Q18" s="16">
        <v>0</v>
      </c>
      <c r="R18" s="7"/>
      <c r="S18" s="5"/>
      <c r="T18" s="16">
        <v>0</v>
      </c>
      <c r="U18" s="7"/>
      <c r="W18" s="16">
        <v>0</v>
      </c>
      <c r="Y18" s="5"/>
      <c r="Z18" s="16">
        <v>0</v>
      </c>
    </row>
    <row r="19" spans="1:28" ht="19.5" customHeight="1" x14ac:dyDescent="0.2">
      <c r="A19" s="3" t="s">
        <v>9</v>
      </c>
      <c r="D19" s="86"/>
      <c r="E19" s="8">
        <f>+E18+E17</f>
        <v>20440.120000000003</v>
      </c>
      <c r="F19" s="7"/>
      <c r="G19" s="86"/>
      <c r="H19" s="8">
        <f>+H18+H17</f>
        <v>18467.02</v>
      </c>
      <c r="I19" s="7"/>
      <c r="J19" s="86"/>
      <c r="K19" s="8">
        <v>21717.11</v>
      </c>
      <c r="L19" s="7"/>
      <c r="M19" s="7"/>
      <c r="N19" s="8">
        <f>+N18+N17</f>
        <v>7682.76</v>
      </c>
      <c r="O19" s="7"/>
      <c r="P19" s="7"/>
      <c r="Q19" s="8">
        <f>+Q18+Q17</f>
        <v>7612.35</v>
      </c>
      <c r="R19" s="7"/>
      <c r="S19" s="7"/>
      <c r="T19" s="8">
        <f>+T18+T17</f>
        <v>7562</v>
      </c>
      <c r="U19" s="7"/>
      <c r="V19" s="7"/>
      <c r="W19" s="8">
        <f>+W18+W17</f>
        <v>7600</v>
      </c>
      <c r="Y19" s="7"/>
      <c r="Z19" s="8">
        <v>7586.56</v>
      </c>
    </row>
    <row r="20" spans="1:28" x14ac:dyDescent="0.2">
      <c r="D20" s="44"/>
      <c r="E20" s="8"/>
      <c r="F20" s="7"/>
      <c r="G20" s="44"/>
      <c r="H20" s="8"/>
      <c r="I20" s="7"/>
      <c r="J20" s="44"/>
      <c r="K20" s="8"/>
      <c r="L20" s="7"/>
      <c r="M20" s="5"/>
      <c r="N20" s="8"/>
      <c r="O20" s="7"/>
      <c r="P20" s="5"/>
      <c r="Q20" s="8"/>
      <c r="R20" s="7"/>
      <c r="S20" s="5"/>
      <c r="T20" s="8"/>
      <c r="U20" s="7"/>
      <c r="W20" s="8"/>
      <c r="Y20" s="5"/>
      <c r="Z20" s="8"/>
    </row>
    <row r="21" spans="1:28" ht="15.75" x14ac:dyDescent="0.25">
      <c r="A21" s="2" t="s">
        <v>10</v>
      </c>
      <c r="D21" s="44"/>
      <c r="E21" s="8"/>
      <c r="F21" s="7"/>
      <c r="G21" s="44"/>
      <c r="H21" s="8"/>
      <c r="I21" s="7"/>
      <c r="J21" s="44"/>
      <c r="K21" s="8"/>
      <c r="L21" s="7"/>
      <c r="M21" s="5"/>
      <c r="N21" s="8"/>
      <c r="O21" s="7"/>
      <c r="P21" s="5"/>
      <c r="Q21" s="8"/>
      <c r="R21" s="7"/>
      <c r="S21" s="5"/>
      <c r="T21" s="8"/>
      <c r="U21" s="7"/>
      <c r="W21" s="8"/>
      <c r="Y21" s="5"/>
      <c r="Z21" s="8"/>
    </row>
    <row r="22" spans="1:28" x14ac:dyDescent="0.2">
      <c r="A22" s="70" t="s">
        <v>419</v>
      </c>
      <c r="D22" s="44">
        <f>-'kolommenbalans 2017'!P37</f>
        <v>14851.94</v>
      </c>
      <c r="E22" s="8"/>
      <c r="F22" s="7"/>
      <c r="G22" s="44">
        <f>+'winst en verlies 2016'!D22</f>
        <v>32271.66</v>
      </c>
      <c r="H22" s="8"/>
      <c r="I22" s="7"/>
      <c r="J22" s="44">
        <v>12747.69</v>
      </c>
      <c r="K22" s="8"/>
      <c r="L22" s="7"/>
      <c r="M22" s="5">
        <f>-'kolommenbalans 2014'!G21</f>
        <v>6000</v>
      </c>
      <c r="N22" s="8"/>
      <c r="O22" s="7"/>
      <c r="P22" s="5">
        <v>0</v>
      </c>
      <c r="Q22" s="8"/>
      <c r="R22" s="7"/>
      <c r="S22" s="5">
        <v>0</v>
      </c>
      <c r="T22" s="8"/>
      <c r="U22" s="7"/>
      <c r="V22" s="5">
        <v>7500</v>
      </c>
      <c r="W22" s="8"/>
      <c r="Y22" s="5">
        <v>5053.45</v>
      </c>
      <c r="Z22" s="8"/>
    </row>
    <row r="23" spans="1:28" x14ac:dyDescent="0.2">
      <c r="A23" s="70" t="s">
        <v>433</v>
      </c>
      <c r="D23" s="44">
        <f>+'kolommenbalans 2017'!Q35</f>
        <v>-3000</v>
      </c>
      <c r="E23" s="8"/>
      <c r="F23" s="7"/>
      <c r="G23" s="44">
        <f>+'winst en verlies 2016'!D23</f>
        <v>-2500</v>
      </c>
      <c r="H23" s="8"/>
      <c r="I23" s="7"/>
      <c r="J23" s="44">
        <v>5500</v>
      </c>
      <c r="K23" s="8"/>
      <c r="L23" s="7"/>
      <c r="M23" s="5"/>
      <c r="N23" s="8"/>
      <c r="O23" s="7"/>
      <c r="P23" s="5"/>
      <c r="Q23" s="8"/>
      <c r="R23" s="7"/>
      <c r="S23" s="5"/>
      <c r="T23" s="8"/>
      <c r="U23" s="7"/>
      <c r="W23" s="8"/>
      <c r="Y23" s="5"/>
      <c r="Z23" s="8"/>
    </row>
    <row r="24" spans="1:28" x14ac:dyDescent="0.2">
      <c r="A24" s="99" t="s">
        <v>421</v>
      </c>
      <c r="D24" s="44">
        <v>0</v>
      </c>
      <c r="E24" s="8"/>
      <c r="F24" s="7"/>
      <c r="G24" s="44">
        <f>+'winst en verlies 2016'!D24</f>
        <v>-1021.6599999999999</v>
      </c>
      <c r="H24" s="8"/>
      <c r="I24" s="7"/>
      <c r="J24" s="44">
        <v>1252.31</v>
      </c>
      <c r="K24" s="8"/>
      <c r="L24" s="7"/>
      <c r="M24" s="5"/>
      <c r="N24" s="8"/>
      <c r="O24" s="7"/>
      <c r="P24" s="5"/>
      <c r="Q24" s="8"/>
      <c r="R24" s="7"/>
      <c r="S24" s="5"/>
      <c r="T24" s="8"/>
      <c r="U24" s="7"/>
      <c r="W24" s="8"/>
      <c r="Y24" s="5"/>
      <c r="Z24" s="8"/>
    </row>
    <row r="25" spans="1:28" ht="13.5" thickBot="1" x14ac:dyDescent="0.25">
      <c r="A25" t="s">
        <v>5</v>
      </c>
      <c r="D25" s="85">
        <f>+'kolommenbalans 2017'!O26</f>
        <v>173.56</v>
      </c>
      <c r="E25" s="8"/>
      <c r="F25" s="7"/>
      <c r="G25" s="85">
        <f>+'winst en verlies 2016'!D25</f>
        <v>334.53999999999996</v>
      </c>
      <c r="H25" s="8"/>
      <c r="I25" s="7"/>
      <c r="J25" s="85">
        <v>163.28</v>
      </c>
      <c r="K25" s="8"/>
      <c r="L25" s="7"/>
      <c r="M25" s="6">
        <f>+'kolommenbalans 2014'!K17</f>
        <v>112.35</v>
      </c>
      <c r="N25" s="8"/>
      <c r="O25" s="7"/>
      <c r="P25" s="6">
        <v>100</v>
      </c>
      <c r="Q25" s="8"/>
      <c r="R25" s="7"/>
      <c r="S25" s="9" t="s">
        <v>351</v>
      </c>
      <c r="T25" s="8"/>
      <c r="U25" s="7"/>
      <c r="V25" s="6">
        <f>+'meerjarenbegroting '!F21</f>
        <v>100</v>
      </c>
      <c r="W25" s="8"/>
      <c r="Y25" s="6">
        <v>74.56</v>
      </c>
      <c r="Z25" s="8"/>
      <c r="AB25" s="52"/>
    </row>
    <row r="26" spans="1:28" x14ac:dyDescent="0.2">
      <c r="D26" s="44"/>
      <c r="E26" s="8"/>
      <c r="F26" s="7"/>
      <c r="G26" s="44"/>
      <c r="H26" s="8"/>
      <c r="I26" s="7"/>
      <c r="J26" s="44"/>
      <c r="K26" s="8"/>
      <c r="L26" s="7"/>
      <c r="M26" s="5"/>
      <c r="N26" s="8"/>
      <c r="O26" s="7"/>
      <c r="P26" s="5"/>
      <c r="Q26" s="8"/>
      <c r="R26" s="7"/>
      <c r="S26" s="5"/>
      <c r="T26" s="8"/>
      <c r="U26" s="7"/>
      <c r="W26" s="8"/>
      <c r="Y26" s="5"/>
      <c r="Z26" s="8"/>
    </row>
    <row r="27" spans="1:28" ht="19.5" customHeight="1" x14ac:dyDescent="0.2">
      <c r="A27" s="3" t="s">
        <v>13</v>
      </c>
      <c r="D27" s="86"/>
      <c r="E27" s="8">
        <f>SUM(D21:D25)</f>
        <v>12025.5</v>
      </c>
      <c r="F27" s="7"/>
      <c r="G27" s="86"/>
      <c r="H27" s="8">
        <f>SUM(G21:G25)</f>
        <v>29084.54</v>
      </c>
      <c r="I27" s="7"/>
      <c r="J27" s="86"/>
      <c r="K27" s="8">
        <v>19663.280000000002</v>
      </c>
      <c r="L27" s="7"/>
      <c r="M27" s="7"/>
      <c r="N27" s="8">
        <f>SUM(M21:M25)</f>
        <v>6112.35</v>
      </c>
      <c r="O27" s="7"/>
      <c r="P27" s="7"/>
      <c r="Q27" s="8">
        <f>SUM(P21:P25)</f>
        <v>100</v>
      </c>
      <c r="R27" s="7"/>
      <c r="S27" s="7"/>
      <c r="T27" s="8">
        <f>SUM(S21:S25)</f>
        <v>0</v>
      </c>
      <c r="U27" s="7"/>
      <c r="V27" s="7"/>
      <c r="W27" s="8">
        <f>+V25+V22</f>
        <v>7600</v>
      </c>
      <c r="Y27" s="7"/>
      <c r="Z27" s="8">
        <v>5128.01</v>
      </c>
    </row>
    <row r="28" spans="1:28" x14ac:dyDescent="0.2">
      <c r="D28" s="44"/>
      <c r="E28" s="8"/>
      <c r="F28" s="7"/>
      <c r="G28" s="44"/>
      <c r="H28" s="8"/>
      <c r="I28" s="7"/>
      <c r="J28" s="44"/>
      <c r="K28" s="8"/>
      <c r="L28" s="7"/>
      <c r="M28" s="5"/>
      <c r="N28" s="8"/>
      <c r="O28" s="7"/>
      <c r="P28" s="5"/>
      <c r="Q28" s="8"/>
      <c r="R28" s="7"/>
      <c r="S28" s="5"/>
      <c r="T28" s="8"/>
      <c r="U28" s="7"/>
      <c r="W28" s="8"/>
      <c r="Y28" s="5"/>
      <c r="Z28" s="8"/>
      <c r="AA28" s="52"/>
    </row>
    <row r="29" spans="1:28" ht="19.5" customHeight="1" x14ac:dyDescent="0.2">
      <c r="A29" s="1" t="s">
        <v>15</v>
      </c>
      <c r="D29" s="86"/>
      <c r="E29" s="8">
        <f>+E19-E27</f>
        <v>8414.6200000000026</v>
      </c>
      <c r="F29" s="7"/>
      <c r="G29" s="86"/>
      <c r="H29" s="8">
        <f>+H19-H27</f>
        <v>-10617.52</v>
      </c>
      <c r="I29" s="7"/>
      <c r="J29" s="86"/>
      <c r="K29" s="8">
        <v>2053.8299999999981</v>
      </c>
      <c r="L29" s="7"/>
      <c r="M29" s="7"/>
      <c r="N29" s="8">
        <f>+N19-N27</f>
        <v>1570.4099999999999</v>
      </c>
      <c r="O29" s="7"/>
      <c r="P29" s="7"/>
      <c r="Q29" s="8">
        <f>+Q19-Q27</f>
        <v>7512.35</v>
      </c>
      <c r="R29" s="7"/>
      <c r="S29" s="7"/>
      <c r="T29" s="8">
        <f>+T19-T27</f>
        <v>7562</v>
      </c>
      <c r="U29" s="7"/>
      <c r="V29" s="7"/>
      <c r="W29" s="8">
        <f>+W19-W27</f>
        <v>0</v>
      </c>
      <c r="Y29" s="7"/>
      <c r="Z29" s="8">
        <v>2458.5500000000002</v>
      </c>
    </row>
    <row r="30" spans="1:28" x14ac:dyDescent="0.2">
      <c r="D30" s="44"/>
      <c r="E30" s="7"/>
      <c r="F30" s="7"/>
      <c r="G30" s="44"/>
      <c r="H30" s="7"/>
      <c r="I30" s="7"/>
      <c r="J30" s="44"/>
      <c r="K30" s="7"/>
      <c r="L30" s="7"/>
      <c r="M30" s="5"/>
      <c r="N30" s="7"/>
      <c r="O30" s="7"/>
      <c r="P30" s="5"/>
      <c r="Q30" s="7"/>
      <c r="R30" s="7"/>
      <c r="S30" s="5"/>
      <c r="T30" s="7"/>
      <c r="U30" s="7"/>
      <c r="W30" s="7"/>
      <c r="Y30" s="5"/>
      <c r="Z30" s="7"/>
    </row>
    <row r="31" spans="1:28" x14ac:dyDescent="0.2">
      <c r="A31" s="20" t="s">
        <v>16</v>
      </c>
      <c r="D31" s="44"/>
      <c r="E31" s="7"/>
      <c r="F31" s="7"/>
      <c r="G31" s="44"/>
      <c r="H31" s="7"/>
      <c r="I31" s="7"/>
      <c r="J31" s="44"/>
      <c r="K31" s="7"/>
      <c r="L31" s="7"/>
      <c r="M31" s="5"/>
      <c r="N31" s="7"/>
      <c r="O31" s="7"/>
      <c r="P31" s="5"/>
      <c r="Q31" s="7"/>
      <c r="R31" s="7"/>
      <c r="S31" s="5"/>
      <c r="T31" s="7"/>
      <c r="U31" s="7"/>
      <c r="W31" s="7"/>
      <c r="Y31" s="5"/>
      <c r="Z31" s="7"/>
    </row>
    <row r="32" spans="1:28" x14ac:dyDescent="0.2">
      <c r="A32" t="s">
        <v>17</v>
      </c>
      <c r="D32" s="44">
        <v>0</v>
      </c>
      <c r="E32" s="8"/>
      <c r="F32" s="7"/>
      <c r="G32" s="44">
        <v>0</v>
      </c>
      <c r="H32" s="8"/>
      <c r="I32" s="7"/>
      <c r="J32" s="44">
        <v>0</v>
      </c>
      <c r="K32" s="8"/>
      <c r="L32" s="7"/>
      <c r="M32" s="5">
        <v>0</v>
      </c>
      <c r="N32" s="8"/>
      <c r="O32" s="7"/>
      <c r="P32" s="5">
        <v>7500</v>
      </c>
      <c r="Q32" s="8"/>
      <c r="R32" s="7"/>
      <c r="S32" s="5">
        <v>7500</v>
      </c>
      <c r="T32" s="8"/>
      <c r="U32" s="7"/>
      <c r="V32" s="5">
        <v>0</v>
      </c>
      <c r="W32" s="8"/>
      <c r="Y32" s="5">
        <v>2458.5500000000002</v>
      </c>
      <c r="Z32" s="8"/>
    </row>
    <row r="33" spans="1:26" ht="13.5" thickBot="1" x14ac:dyDescent="0.25">
      <c r="A33" t="s">
        <v>28</v>
      </c>
      <c r="D33" s="85">
        <f>+E29</f>
        <v>8414.6200000000026</v>
      </c>
      <c r="E33" s="8"/>
      <c r="F33" s="7"/>
      <c r="G33" s="85">
        <f>+H29</f>
        <v>-10617.52</v>
      </c>
      <c r="H33" s="8"/>
      <c r="I33" s="7"/>
      <c r="J33" s="85">
        <v>2053.8299999999981</v>
      </c>
      <c r="K33" s="8"/>
      <c r="L33" s="7"/>
      <c r="M33" s="6">
        <v>1570</v>
      </c>
      <c r="N33" s="8"/>
      <c r="O33" s="7"/>
      <c r="P33" s="6">
        <v>0</v>
      </c>
      <c r="Q33" s="8"/>
      <c r="R33" s="7"/>
      <c r="S33" s="6">
        <v>0</v>
      </c>
      <c r="T33" s="8"/>
      <c r="U33" s="7"/>
      <c r="V33" s="6">
        <f>+W29</f>
        <v>0</v>
      </c>
      <c r="W33" s="8"/>
      <c r="Y33" s="9">
        <v>0</v>
      </c>
      <c r="Z33" s="8"/>
    </row>
    <row r="34" spans="1:26" ht="19.5" customHeight="1" x14ac:dyDescent="0.2">
      <c r="A34" s="3"/>
      <c r="D34" s="86"/>
      <c r="E34" s="8">
        <f>+D32+D33</f>
        <v>8414.6200000000026</v>
      </c>
      <c r="F34" s="7"/>
      <c r="G34" s="86"/>
      <c r="H34" s="8">
        <f>+G32+G33</f>
        <v>-10617.52</v>
      </c>
      <c r="I34" s="7"/>
      <c r="J34" s="86"/>
      <c r="K34" s="8">
        <v>2053.8299999999981</v>
      </c>
      <c r="L34" s="7"/>
      <c r="M34" s="7"/>
      <c r="N34" s="8">
        <f>+M32+M33</f>
        <v>1570</v>
      </c>
      <c r="O34" s="7"/>
      <c r="P34" s="7"/>
      <c r="Q34" s="8">
        <f>+P32+P33</f>
        <v>7500</v>
      </c>
      <c r="R34" s="7"/>
      <c r="S34" s="7"/>
      <c r="T34" s="8">
        <f>+S32+S33</f>
        <v>7500</v>
      </c>
      <c r="U34" s="7"/>
      <c r="V34" s="7"/>
      <c r="W34" s="8">
        <f>+V33+V32</f>
        <v>0</v>
      </c>
      <c r="Y34" s="7"/>
      <c r="Z34" s="8">
        <v>2458.5500000000002</v>
      </c>
    </row>
    <row r="35" spans="1:26" ht="19.5" customHeight="1" x14ac:dyDescent="0.2">
      <c r="A35" s="3"/>
      <c r="D35" s="86"/>
      <c r="E35" s="8"/>
      <c r="F35" s="7"/>
      <c r="G35" s="86"/>
      <c r="H35" s="8"/>
      <c r="I35" s="7"/>
      <c r="J35" s="86"/>
      <c r="K35" s="8"/>
      <c r="L35" s="7"/>
      <c r="M35" s="7"/>
      <c r="N35" s="8"/>
      <c r="O35" s="7"/>
      <c r="P35" s="7"/>
      <c r="Q35" s="8"/>
      <c r="R35" s="7"/>
      <c r="S35" s="7"/>
      <c r="T35" s="8"/>
      <c r="U35" s="7"/>
      <c r="V35" s="7"/>
      <c r="W35" s="8"/>
      <c r="Y35" s="7"/>
      <c r="Z35" s="8"/>
    </row>
    <row r="36" spans="1:26" ht="19.5" customHeight="1" x14ac:dyDescent="0.2">
      <c r="A36" s="3"/>
      <c r="F36" s="7"/>
      <c r="I36" s="7"/>
      <c r="L36" s="7"/>
      <c r="O36" s="7"/>
      <c r="R36" s="7"/>
      <c r="U36" s="7"/>
      <c r="V36" s="7"/>
      <c r="W36" s="7"/>
    </row>
    <row r="37" spans="1:26" x14ac:dyDescent="0.2">
      <c r="A37" s="20" t="s">
        <v>43</v>
      </c>
      <c r="S37" s="114"/>
    </row>
    <row r="38" spans="1:26" x14ac:dyDescent="0.2">
      <c r="A38" t="s">
        <v>47</v>
      </c>
      <c r="D38" s="95"/>
      <c r="G38" s="95"/>
      <c r="J38" s="95"/>
      <c r="M38" s="96"/>
      <c r="Q38" s="113"/>
    </row>
    <row r="39" spans="1:26" x14ac:dyDescent="0.2">
      <c r="A39" s="76"/>
      <c r="B39" s="70" t="s">
        <v>472</v>
      </c>
      <c r="C39" s="76"/>
      <c r="D39" s="87"/>
      <c r="E39" s="76"/>
      <c r="F39" s="76"/>
      <c r="G39" s="87"/>
      <c r="H39" s="76"/>
      <c r="I39" s="76"/>
      <c r="J39" s="87"/>
      <c r="K39" s="76"/>
      <c r="L39" s="76"/>
      <c r="M39" s="88"/>
      <c r="N39" s="76"/>
      <c r="O39" s="76"/>
      <c r="P39" s="76"/>
      <c r="Q39" s="113">
        <v>7500</v>
      </c>
      <c r="T39" s="76"/>
      <c r="U39" s="76"/>
    </row>
    <row r="40" spans="1:26" x14ac:dyDescent="0.2">
      <c r="A40" s="76"/>
      <c r="B40" s="114" t="s">
        <v>485</v>
      </c>
      <c r="C40" s="76"/>
      <c r="D40" s="87"/>
      <c r="E40" s="76"/>
      <c r="F40" s="76"/>
      <c r="G40" s="87"/>
      <c r="H40" s="76"/>
      <c r="I40" s="76"/>
      <c r="J40" s="87"/>
      <c r="K40" s="76"/>
      <c r="L40" s="76"/>
      <c r="M40" s="88"/>
      <c r="N40" s="76"/>
      <c r="O40" s="76"/>
      <c r="P40" s="76"/>
      <c r="Q40" s="113">
        <v>11752</v>
      </c>
      <c r="T40" s="76"/>
      <c r="U40" s="76"/>
    </row>
    <row r="41" spans="1:26" x14ac:dyDescent="0.2">
      <c r="A41" s="76"/>
      <c r="B41" s="114" t="s">
        <v>486</v>
      </c>
      <c r="C41" s="76"/>
      <c r="D41" s="87"/>
      <c r="E41" s="76"/>
      <c r="F41" s="76"/>
      <c r="G41" s="87"/>
      <c r="H41" s="76"/>
      <c r="I41" s="76"/>
      <c r="J41" s="87"/>
      <c r="K41" s="76"/>
      <c r="L41" s="76"/>
      <c r="M41" s="88"/>
      <c r="N41" s="76"/>
      <c r="O41" s="76"/>
      <c r="P41" s="76"/>
      <c r="Q41" s="115">
        <v>1000</v>
      </c>
      <c r="T41" s="76"/>
      <c r="U41" s="76"/>
    </row>
    <row r="42" spans="1:26" x14ac:dyDescent="0.2">
      <c r="A42" s="76"/>
      <c r="B42" s="76"/>
      <c r="C42" s="76"/>
      <c r="D42" s="87"/>
      <c r="E42" s="76"/>
      <c r="F42" s="76"/>
      <c r="G42" s="87"/>
      <c r="H42" s="76"/>
      <c r="I42" s="76"/>
      <c r="J42" s="87"/>
      <c r="K42" s="76"/>
      <c r="L42" s="76"/>
      <c r="M42" s="88"/>
      <c r="N42" s="76"/>
      <c r="O42" s="76"/>
      <c r="P42" s="76"/>
      <c r="Q42" s="113">
        <f>+Q41+Q40+Q39</f>
        <v>20252</v>
      </c>
      <c r="T42" s="76"/>
      <c r="U42" s="76"/>
    </row>
    <row r="43" spans="1:26" x14ac:dyDescent="0.2">
      <c r="A43" s="70" t="s">
        <v>414</v>
      </c>
      <c r="B43" s="76"/>
      <c r="C43" s="76"/>
      <c r="D43" s="87"/>
      <c r="E43" s="76"/>
      <c r="F43" s="76"/>
      <c r="G43" s="87"/>
      <c r="H43" s="76"/>
      <c r="I43" s="76"/>
      <c r="J43" s="87"/>
      <c r="K43" s="76"/>
      <c r="L43" s="76"/>
      <c r="M43" s="88"/>
      <c r="N43" s="76"/>
      <c r="O43" s="76"/>
      <c r="P43" s="76"/>
      <c r="Q43" s="113"/>
      <c r="T43" s="76"/>
      <c r="U43" s="76"/>
    </row>
    <row r="44" spans="1:26" x14ac:dyDescent="0.2">
      <c r="B44" s="70" t="s">
        <v>107</v>
      </c>
      <c r="C44" s="76"/>
      <c r="D44" s="87"/>
      <c r="E44" s="76"/>
      <c r="F44" s="76"/>
      <c r="G44" s="87"/>
      <c r="H44" s="76"/>
      <c r="I44" s="76"/>
      <c r="J44" s="87"/>
      <c r="K44" s="76"/>
      <c r="L44" s="76"/>
      <c r="M44" s="88"/>
      <c r="N44" s="76"/>
      <c r="O44" s="76"/>
      <c r="P44" s="76"/>
      <c r="Q44" s="76"/>
      <c r="R44" s="76"/>
      <c r="S44" s="114"/>
      <c r="T44" s="76"/>
      <c r="U44" s="76"/>
    </row>
    <row r="45" spans="1:26" x14ac:dyDescent="0.2">
      <c r="A45" s="76"/>
      <c r="B45" s="70" t="s">
        <v>473</v>
      </c>
      <c r="C45" s="76"/>
      <c r="D45" s="72">
        <f>+'kolommenbalans 2017'!O7+'kolommenbalans 2017'!O11+'kolommenbalans 2017'!O18+'kolommenbalans 2017'!O21-D46</f>
        <v>113.66</v>
      </c>
      <c r="E45" s="76"/>
      <c r="F45" s="76"/>
      <c r="H45" s="76"/>
      <c r="I45" s="76"/>
      <c r="J45" s="87"/>
      <c r="K45" s="76"/>
      <c r="L45" s="76"/>
      <c r="M45" s="88"/>
      <c r="N45" s="76"/>
      <c r="O45" s="76"/>
      <c r="P45" s="76"/>
      <c r="Q45" s="76"/>
      <c r="R45" s="76"/>
      <c r="S45" s="76"/>
      <c r="T45" s="76"/>
      <c r="U45" s="76"/>
    </row>
    <row r="46" spans="1:26" x14ac:dyDescent="0.2">
      <c r="A46" s="76"/>
      <c r="B46" s="70" t="s">
        <v>256</v>
      </c>
      <c r="C46" s="76"/>
      <c r="D46" s="72">
        <v>59.9</v>
      </c>
      <c r="E46" s="76"/>
      <c r="F46" s="76"/>
      <c r="H46" s="76"/>
      <c r="I46" s="76"/>
      <c r="J46" s="87"/>
      <c r="K46" s="76"/>
      <c r="L46" s="76"/>
      <c r="M46" s="88"/>
      <c r="N46" s="76"/>
      <c r="O46" s="76"/>
      <c r="P46" s="76"/>
      <c r="Q46" s="76"/>
      <c r="R46" s="76"/>
      <c r="S46" s="76"/>
      <c r="T46" s="76"/>
      <c r="U46" s="76"/>
    </row>
    <row r="47" spans="1:26" x14ac:dyDescent="0.2">
      <c r="A47" s="76"/>
      <c r="B47" s="70"/>
      <c r="C47" s="71" t="s">
        <v>55</v>
      </c>
      <c r="D47" s="72">
        <f>SUM(D45:D46)</f>
        <v>173.56</v>
      </c>
      <c r="E47" s="76"/>
      <c r="F47" s="76"/>
      <c r="H47" s="76"/>
      <c r="I47" s="76"/>
      <c r="J47" s="87"/>
      <c r="K47" s="76"/>
      <c r="L47" s="76"/>
      <c r="M47" s="88"/>
      <c r="N47" s="76"/>
      <c r="O47" s="76"/>
      <c r="P47" s="76"/>
      <c r="Q47" s="76"/>
      <c r="R47" s="76"/>
      <c r="S47" s="76"/>
      <c r="T47" s="76"/>
      <c r="U47" s="76"/>
    </row>
    <row r="48" spans="1:26" x14ac:dyDescent="0.2">
      <c r="A48" s="76"/>
      <c r="B48" s="76"/>
      <c r="C48" s="76"/>
      <c r="D48" s="87"/>
      <c r="E48" s="76"/>
      <c r="F48" s="76"/>
      <c r="G48" s="87"/>
      <c r="H48" s="76"/>
      <c r="I48" s="76"/>
      <c r="J48" s="87"/>
      <c r="K48" s="76"/>
      <c r="L48" s="76"/>
      <c r="M48" s="88"/>
      <c r="N48" s="76"/>
      <c r="O48" s="76"/>
      <c r="P48" s="76"/>
      <c r="Q48" s="76"/>
      <c r="R48" s="76"/>
      <c r="S48" s="76"/>
      <c r="T48" s="76"/>
      <c r="U48" s="76"/>
    </row>
    <row r="49" spans="1:28" x14ac:dyDescent="0.2">
      <c r="A49" s="70" t="s">
        <v>413</v>
      </c>
      <c r="B49" s="76"/>
      <c r="C49" s="76"/>
      <c r="D49" s="87"/>
      <c r="E49" s="76"/>
      <c r="F49" s="76"/>
      <c r="G49" s="87"/>
      <c r="H49" s="76"/>
      <c r="I49" s="76"/>
      <c r="J49" s="87"/>
      <c r="K49" s="76"/>
      <c r="L49" s="76"/>
      <c r="M49" s="88"/>
      <c r="N49" s="76"/>
      <c r="O49" s="76"/>
      <c r="P49" s="76"/>
      <c r="Q49" s="76"/>
      <c r="R49" s="76"/>
      <c r="S49" s="76"/>
      <c r="T49" s="76"/>
      <c r="U49" s="76"/>
    </row>
    <row r="50" spans="1:28" x14ac:dyDescent="0.2">
      <c r="B50" t="s">
        <v>474</v>
      </c>
      <c r="C50" s="76"/>
      <c r="D50" s="87"/>
      <c r="E50" s="76"/>
      <c r="F50" s="76"/>
      <c r="G50" s="87"/>
      <c r="H50" s="76"/>
      <c r="I50" s="76"/>
      <c r="J50" s="87"/>
      <c r="K50" s="76"/>
      <c r="L50" s="76"/>
      <c r="M50" s="88"/>
      <c r="N50" s="76"/>
      <c r="O50" s="76"/>
      <c r="P50" s="76"/>
      <c r="Q50" s="76"/>
      <c r="R50" s="76"/>
      <c r="S50" s="76"/>
      <c r="T50" s="76"/>
      <c r="U50" s="76"/>
      <c r="Y50" s="5"/>
    </row>
    <row r="51" spans="1:28" x14ac:dyDescent="0.2">
      <c r="A51" s="76"/>
      <c r="B51" s="70"/>
      <c r="C51" s="76"/>
      <c r="D51" s="87"/>
      <c r="E51" s="76"/>
      <c r="F51" s="76"/>
      <c r="G51" s="87"/>
      <c r="H51" s="76"/>
      <c r="I51" s="76"/>
      <c r="J51" s="87"/>
      <c r="K51" s="76"/>
      <c r="L51" s="76"/>
      <c r="M51" s="88"/>
      <c r="N51" s="76"/>
      <c r="O51" s="76"/>
      <c r="P51" s="76"/>
      <c r="Q51" s="76"/>
      <c r="R51" s="76"/>
      <c r="S51" s="76"/>
      <c r="T51" s="76"/>
      <c r="U51" s="76"/>
      <c r="Y51" s="5"/>
    </row>
    <row r="52" spans="1:28" x14ac:dyDescent="0.2">
      <c r="A52" s="70" t="s">
        <v>46</v>
      </c>
      <c r="B52" s="70"/>
      <c r="C52" s="70"/>
      <c r="D52" s="87"/>
      <c r="E52" s="76"/>
      <c r="F52" s="76"/>
      <c r="G52" s="87"/>
      <c r="H52" s="76"/>
      <c r="I52" s="76"/>
      <c r="J52" s="87"/>
      <c r="K52" s="76"/>
      <c r="L52" s="76"/>
      <c r="M52" s="88"/>
      <c r="N52" s="76"/>
      <c r="O52" s="76"/>
      <c r="P52" s="76"/>
      <c r="Q52" s="76"/>
      <c r="R52" s="76"/>
      <c r="S52" s="76"/>
      <c r="T52" s="76"/>
      <c r="U52" s="76"/>
      <c r="Y52" s="5"/>
    </row>
    <row r="53" spans="1:28" ht="27" customHeight="1" x14ac:dyDescent="0.2">
      <c r="A53" s="70"/>
      <c r="B53" s="263" t="s">
        <v>479</v>
      </c>
      <c r="C53" s="238"/>
      <c r="D53" s="238"/>
      <c r="E53" s="238"/>
      <c r="F53" s="238"/>
      <c r="G53" s="238"/>
      <c r="H53" s="238"/>
      <c r="I53" s="238"/>
      <c r="J53" s="238"/>
      <c r="K53" s="238"/>
      <c r="L53" s="238"/>
      <c r="M53" s="238"/>
      <c r="N53" s="238"/>
      <c r="O53" s="238"/>
      <c r="P53" s="238"/>
      <c r="Q53" s="238"/>
      <c r="R53" s="238"/>
      <c r="S53" s="76"/>
      <c r="T53" s="76"/>
      <c r="U53" s="76"/>
      <c r="Y53" s="5"/>
      <c r="Z53" s="44"/>
    </row>
    <row r="54" spans="1:28" ht="51" customHeight="1" x14ac:dyDescent="0.2">
      <c r="A54" s="70"/>
      <c r="B54" s="262" t="s">
        <v>487</v>
      </c>
      <c r="C54" s="238"/>
      <c r="D54" s="238"/>
      <c r="E54" s="238"/>
      <c r="F54" s="238"/>
      <c r="G54" s="238"/>
      <c r="H54" s="238"/>
      <c r="I54" s="238"/>
      <c r="J54" s="238"/>
      <c r="K54" s="238"/>
      <c r="L54" s="238"/>
      <c r="M54" s="238"/>
      <c r="N54" s="238"/>
      <c r="O54" s="238"/>
      <c r="P54" s="238"/>
      <c r="Q54" s="238"/>
      <c r="R54" s="238"/>
      <c r="S54" s="98"/>
      <c r="T54" s="98"/>
      <c r="U54" s="76"/>
      <c r="Y54" s="5"/>
      <c r="Z54" s="44"/>
    </row>
    <row r="55" spans="1:28" x14ac:dyDescent="0.2">
      <c r="A55" s="70"/>
      <c r="B55" s="70" t="s">
        <v>475</v>
      </c>
      <c r="C55" s="70"/>
      <c r="D55" s="87"/>
      <c r="E55" s="76"/>
      <c r="F55" s="76"/>
      <c r="G55" s="87"/>
      <c r="H55" s="76"/>
      <c r="I55" s="76"/>
      <c r="J55" s="87"/>
      <c r="K55" s="76"/>
      <c r="L55" s="76"/>
      <c r="M55" s="88"/>
      <c r="N55" s="76"/>
      <c r="O55" s="76"/>
      <c r="P55" s="76"/>
      <c r="Q55" s="76"/>
      <c r="R55" s="76"/>
      <c r="S55" s="76"/>
      <c r="T55" s="76"/>
      <c r="U55" s="76"/>
      <c r="Y55" s="5"/>
      <c r="Z55" s="44"/>
    </row>
    <row r="56" spans="1:28" ht="26.1" customHeight="1" x14ac:dyDescent="0.2">
      <c r="A56" s="70"/>
      <c r="B56" s="262" t="s">
        <v>494</v>
      </c>
      <c r="C56" s="238"/>
      <c r="D56" s="238"/>
      <c r="E56" s="238"/>
      <c r="F56" s="238"/>
      <c r="G56" s="238"/>
      <c r="H56" s="238"/>
      <c r="I56" s="238"/>
      <c r="J56" s="238"/>
      <c r="K56" s="238"/>
      <c r="L56" s="238"/>
      <c r="M56" s="238"/>
      <c r="N56" s="238"/>
      <c r="O56" s="238"/>
      <c r="P56" s="238"/>
      <c r="Q56" s="238"/>
      <c r="R56" s="238"/>
      <c r="S56" s="98"/>
      <c r="T56" s="98"/>
      <c r="U56" s="76"/>
      <c r="Y56" s="5"/>
      <c r="Z56" s="44"/>
    </row>
    <row r="57" spans="1:28" ht="26.1" customHeight="1" x14ac:dyDescent="0.2">
      <c r="A57" s="70"/>
      <c r="B57" s="262" t="s">
        <v>488</v>
      </c>
      <c r="C57" s="238"/>
      <c r="D57" s="238"/>
      <c r="E57" s="238"/>
      <c r="F57" s="238"/>
      <c r="G57" s="238"/>
      <c r="H57" s="238"/>
      <c r="I57" s="238"/>
      <c r="J57" s="238"/>
      <c r="K57" s="238"/>
      <c r="L57" s="238"/>
      <c r="M57" s="238"/>
      <c r="N57" s="238"/>
      <c r="O57" s="238"/>
      <c r="P57" s="238"/>
      <c r="Q57" s="238"/>
      <c r="R57" s="238"/>
      <c r="S57" s="98"/>
      <c r="T57" s="98"/>
      <c r="U57" s="76"/>
      <c r="Y57" s="5"/>
      <c r="Z57" s="44"/>
    </row>
    <row r="58" spans="1:28" x14ac:dyDescent="0.2">
      <c r="E58" s="76"/>
      <c r="F58" s="76"/>
      <c r="G58" s="72"/>
      <c r="H58" s="76"/>
      <c r="I58" s="76"/>
      <c r="J58" s="87"/>
      <c r="K58" s="76"/>
      <c r="L58" s="76"/>
      <c r="M58" s="88"/>
      <c r="N58" s="76"/>
      <c r="O58" s="76"/>
      <c r="P58" s="76"/>
      <c r="Q58" s="76"/>
      <c r="R58" s="76"/>
      <c r="S58" s="76"/>
      <c r="T58" s="76"/>
      <c r="U58" s="76"/>
      <c r="Y58" s="5"/>
      <c r="Z58" s="44"/>
    </row>
    <row r="59" spans="1:28" x14ac:dyDescent="0.2">
      <c r="A59" s="114" t="s">
        <v>489</v>
      </c>
      <c r="E59" s="76"/>
      <c r="F59" s="76"/>
      <c r="G59" s="72"/>
      <c r="H59" s="76"/>
      <c r="I59" s="76"/>
      <c r="J59" s="87"/>
      <c r="K59" s="76"/>
      <c r="L59" s="76"/>
      <c r="M59" s="88"/>
      <c r="N59" s="76"/>
      <c r="O59" s="76"/>
      <c r="P59" s="76"/>
      <c r="Q59" s="76"/>
      <c r="R59" s="76"/>
      <c r="S59" s="76"/>
      <c r="T59" s="76"/>
      <c r="U59" s="76"/>
      <c r="Y59" s="5"/>
      <c r="Z59" s="44"/>
    </row>
    <row r="60" spans="1:28" x14ac:dyDescent="0.2">
      <c r="A60" s="101"/>
      <c r="B60" s="114" t="s">
        <v>490</v>
      </c>
      <c r="D60" s="72">
        <v>15550</v>
      </c>
      <c r="E60" s="76"/>
      <c r="F60" s="76"/>
      <c r="G60" s="72"/>
      <c r="H60" s="76"/>
      <c r="I60" s="76"/>
      <c r="J60" s="87"/>
      <c r="K60" s="76"/>
      <c r="L60" s="76"/>
      <c r="M60" s="88"/>
      <c r="N60" s="76"/>
      <c r="O60" s="76"/>
      <c r="P60" s="76"/>
      <c r="Q60" s="76"/>
      <c r="R60" s="76"/>
      <c r="S60" s="76"/>
      <c r="T60" s="76"/>
      <c r="U60" s="76"/>
      <c r="Y60" s="5"/>
      <c r="Z60" s="44"/>
    </row>
    <row r="61" spans="1:28" x14ac:dyDescent="0.2">
      <c r="A61" s="101"/>
      <c r="B61" s="70" t="s">
        <v>477</v>
      </c>
      <c r="D61" s="72"/>
      <c r="E61" s="76"/>
      <c r="F61" s="76"/>
      <c r="G61" s="72"/>
      <c r="H61" s="76"/>
      <c r="I61" s="76"/>
      <c r="J61" s="87"/>
      <c r="K61" s="76"/>
      <c r="L61" s="76"/>
      <c r="M61" s="88"/>
      <c r="N61" s="76"/>
      <c r="O61" s="76"/>
      <c r="P61" s="76"/>
      <c r="Q61" s="76"/>
      <c r="R61" s="76"/>
      <c r="S61" s="76"/>
      <c r="T61" s="76"/>
      <c r="U61" s="76"/>
      <c r="Y61" s="5"/>
      <c r="Z61" s="44"/>
    </row>
    <row r="62" spans="1:28" x14ac:dyDescent="0.2">
      <c r="A62" s="101"/>
      <c r="C62" s="70" t="s">
        <v>476</v>
      </c>
      <c r="D62" s="72">
        <v>-960</v>
      </c>
      <c r="E62" s="76"/>
      <c r="F62" s="76"/>
      <c r="G62" s="72"/>
      <c r="H62" s="76"/>
      <c r="I62" s="76"/>
      <c r="J62" s="87"/>
      <c r="K62" s="76"/>
      <c r="L62" s="76"/>
      <c r="M62" s="88"/>
      <c r="N62" s="76"/>
      <c r="O62" s="76"/>
      <c r="P62" s="76"/>
      <c r="Q62" s="76"/>
      <c r="R62" s="76"/>
      <c r="S62" s="76"/>
      <c r="T62" s="76"/>
      <c r="U62" s="76"/>
      <c r="Y62" s="5"/>
      <c r="Z62" s="44"/>
    </row>
    <row r="63" spans="1:28" s="5" customFormat="1" x14ac:dyDescent="0.2">
      <c r="A63" s="101"/>
      <c r="B63"/>
      <c r="C63" s="70" t="s">
        <v>478</v>
      </c>
      <c r="D63" s="72">
        <v>-3500</v>
      </c>
      <c r="E63" s="76"/>
      <c r="F63" s="76"/>
      <c r="G63" s="72"/>
      <c r="H63" s="76"/>
      <c r="I63" s="76"/>
      <c r="J63" s="87"/>
      <c r="K63" s="76"/>
      <c r="L63" s="76"/>
      <c r="M63" s="88"/>
      <c r="N63" s="76"/>
      <c r="O63" s="76"/>
      <c r="P63" s="76"/>
      <c r="Q63" s="76"/>
      <c r="R63" s="76"/>
      <c r="S63" s="76"/>
      <c r="T63" s="76"/>
      <c r="U63" s="76"/>
      <c r="W63"/>
      <c r="X63"/>
      <c r="Z63" s="44"/>
      <c r="AA63"/>
      <c r="AB63"/>
    </row>
    <row r="64" spans="1:28" s="5" customFormat="1" x14ac:dyDescent="0.2">
      <c r="A64" s="76"/>
      <c r="B64" s="114" t="s">
        <v>492</v>
      </c>
      <c r="C64" s="70"/>
      <c r="D64" s="72">
        <v>-3000</v>
      </c>
      <c r="E64"/>
      <c r="F64"/>
      <c r="G64" s="72"/>
      <c r="H64"/>
      <c r="I64"/>
      <c r="J64" s="32"/>
      <c r="K64"/>
      <c r="L64"/>
      <c r="M64" s="4"/>
      <c r="N64"/>
      <c r="O64"/>
      <c r="P64"/>
      <c r="Q64"/>
      <c r="R64"/>
      <c r="S64"/>
      <c r="T64"/>
      <c r="U64"/>
      <c r="W64"/>
      <c r="X64"/>
      <c r="Y64" s="23"/>
      <c r="Z64" s="44"/>
      <c r="AA64"/>
      <c r="AB64"/>
    </row>
    <row r="65" spans="1:7" x14ac:dyDescent="0.2">
      <c r="B65" s="114" t="s">
        <v>493</v>
      </c>
      <c r="C65" s="100"/>
      <c r="D65" s="116">
        <v>2500</v>
      </c>
      <c r="G65" s="72">
        <v>2500</v>
      </c>
    </row>
    <row r="66" spans="1:7" x14ac:dyDescent="0.2">
      <c r="B66" s="101" t="s">
        <v>491</v>
      </c>
      <c r="D66" s="72">
        <f>SUM(D60:D65)</f>
        <v>10590</v>
      </c>
    </row>
    <row r="75" spans="1:7" x14ac:dyDescent="0.2">
      <c r="A75" s="21"/>
    </row>
  </sheetData>
  <mergeCells count="20">
    <mergeCell ref="S3:T3"/>
    <mergeCell ref="V3:W3"/>
    <mergeCell ref="Y3:Z3"/>
    <mergeCell ref="G4:H4"/>
    <mergeCell ref="J4:K4"/>
    <mergeCell ref="M4:N4"/>
    <mergeCell ref="P4:Q4"/>
    <mergeCell ref="S4:T4"/>
    <mergeCell ref="V4:W4"/>
    <mergeCell ref="Y4:Z4"/>
    <mergeCell ref="B57:R57"/>
    <mergeCell ref="D3:E3"/>
    <mergeCell ref="D4:E4"/>
    <mergeCell ref="M3:N3"/>
    <mergeCell ref="P3:Q3"/>
    <mergeCell ref="G3:H3"/>
    <mergeCell ref="J3:K3"/>
    <mergeCell ref="B53:R53"/>
    <mergeCell ref="B54:R54"/>
    <mergeCell ref="B56:R56"/>
  </mergeCells>
  <pageMargins left="0.74803149606299213" right="0.74803149606299213" top="0.98425196850393704" bottom="0.78740157480314965" header="0.51181102362204722" footer="0.51181102362204722"/>
  <pageSetup scale="63" orientation="portrait" r:id="rId1"/>
  <headerFooter alignWithMargins="0">
    <oddFooter>&amp;L&amp;F, &amp;A&amp;R&amp;D</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48"/>
  <sheetViews>
    <sheetView topLeftCell="A13" workbookViewId="0">
      <selection activeCell="Q30" sqref="Q30"/>
    </sheetView>
  </sheetViews>
  <sheetFormatPr defaultColWidth="8.85546875" defaultRowHeight="12.75" x14ac:dyDescent="0.2"/>
  <cols>
    <col min="1" max="1" width="27.42578125" customWidth="1"/>
    <col min="2" max="3" width="10.28515625" customWidth="1"/>
    <col min="4" max="4" width="9.28515625" bestFit="1" customWidth="1"/>
    <col min="5" max="5" width="8.42578125" bestFit="1" customWidth="1"/>
    <col min="6" max="6" width="9.28515625" customWidth="1"/>
    <col min="7" max="7" width="7.7109375" bestFit="1" customWidth="1"/>
    <col min="8" max="9" width="10.28515625" customWidth="1"/>
    <col min="10" max="10" width="7.7109375" bestFit="1" customWidth="1"/>
    <col min="11" max="11" width="1" style="84" customWidth="1"/>
    <col min="12" max="12" width="10.28515625" customWidth="1"/>
    <col min="13" max="13" width="6.7109375" bestFit="1" customWidth="1"/>
    <col min="14" max="14" width="1.140625" style="84" customWidth="1"/>
    <col min="15" max="15" width="7.7109375" customWidth="1"/>
    <col min="16" max="16" width="10.28515625" customWidth="1"/>
    <col min="17" max="17" width="9.28515625" bestFit="1" customWidth="1"/>
    <col min="18" max="18" width="10.28515625" customWidth="1"/>
    <col min="19" max="19" width="6.85546875" bestFit="1" customWidth="1"/>
  </cols>
  <sheetData>
    <row r="1" spans="1:19" ht="15.75" x14ac:dyDescent="0.25">
      <c r="A1" s="42" t="s">
        <v>453</v>
      </c>
    </row>
    <row r="2" spans="1:19" ht="12" customHeight="1" x14ac:dyDescent="0.2"/>
    <row r="3" spans="1:19" s="12" customFormat="1" ht="132.75" customHeight="1" x14ac:dyDescent="0.2">
      <c r="B3" s="69" t="s">
        <v>291</v>
      </c>
      <c r="C3" s="69" t="s">
        <v>292</v>
      </c>
      <c r="D3" s="69" t="s">
        <v>394</v>
      </c>
      <c r="E3" s="90" t="s">
        <v>372</v>
      </c>
      <c r="F3" s="90" t="s">
        <v>459</v>
      </c>
      <c r="G3" s="90" t="s">
        <v>467</v>
      </c>
      <c r="H3" s="69" t="s">
        <v>186</v>
      </c>
      <c r="I3" s="69" t="s">
        <v>202</v>
      </c>
      <c r="J3" s="69" t="s">
        <v>484</v>
      </c>
      <c r="K3" s="102"/>
      <c r="L3" s="69" t="s">
        <v>392</v>
      </c>
      <c r="M3" s="69" t="s">
        <v>302</v>
      </c>
      <c r="N3" s="102"/>
      <c r="O3" s="69" t="s">
        <v>190</v>
      </c>
      <c r="P3" s="69" t="s">
        <v>324</v>
      </c>
      <c r="Q3" s="90" t="s">
        <v>447</v>
      </c>
    </row>
    <row r="5" spans="1:19" s="20" customFormat="1" x14ac:dyDescent="0.2">
      <c r="A5" s="20" t="s">
        <v>191</v>
      </c>
      <c r="B5" s="39">
        <f>+'kolommenbalans 2016'!B34</f>
        <v>4486.9599999999973</v>
      </c>
      <c r="C5" s="39">
        <f>+'kolommenbalans 2016'!C34</f>
        <v>15356.719999999998</v>
      </c>
      <c r="D5" s="39">
        <f>+'kolommenbalans 2016'!D34</f>
        <v>0</v>
      </c>
      <c r="E5" s="39">
        <f>+'kolommenbalans 2016'!E34</f>
        <v>167.54</v>
      </c>
      <c r="F5" s="39"/>
      <c r="G5" s="39"/>
      <c r="H5" s="39">
        <f>+'kolommenbalans 2016'!F34</f>
        <v>-4230.5700000000015</v>
      </c>
      <c r="I5" s="39">
        <f>+'kolommenbalans 2016'!G34</f>
        <v>-15550</v>
      </c>
      <c r="J5" s="39">
        <f>+'kolommenbalans 2016'!H34</f>
        <v>-230.65000000000009</v>
      </c>
      <c r="K5" s="83"/>
      <c r="L5" s="39"/>
      <c r="M5" s="39"/>
      <c r="N5" s="83"/>
      <c r="O5" s="39">
        <f>+'kolommenbalans 2014'!K29</f>
        <v>0</v>
      </c>
      <c r="P5" s="39"/>
      <c r="Q5" s="39"/>
      <c r="R5" s="39">
        <f>SUM(B5:O5)</f>
        <v>-7.73070496506989E-12</v>
      </c>
      <c r="S5" s="39">
        <f>SUM(M5:O5)</f>
        <v>0</v>
      </c>
    </row>
    <row r="6" spans="1:19" x14ac:dyDescent="0.2">
      <c r="A6" s="70" t="s">
        <v>293</v>
      </c>
      <c r="B6" s="32">
        <f>-I6</f>
        <v>-80</v>
      </c>
      <c r="C6" s="32"/>
      <c r="D6" s="32"/>
      <c r="E6" s="32"/>
      <c r="F6" s="32"/>
      <c r="G6" s="32"/>
      <c r="H6" s="32"/>
      <c r="I6" s="32">
        <v>80</v>
      </c>
      <c r="J6" s="32"/>
      <c r="K6" s="82"/>
      <c r="L6" s="32"/>
      <c r="M6" s="32"/>
      <c r="N6" s="82"/>
      <c r="O6" s="32"/>
      <c r="Q6" s="32"/>
      <c r="R6" s="39">
        <f>SUM(B6:Q6)</f>
        <v>0</v>
      </c>
      <c r="S6" s="32"/>
    </row>
    <row r="7" spans="1:19" x14ac:dyDescent="0.2">
      <c r="A7" s="70" t="s">
        <v>294</v>
      </c>
      <c r="B7" s="32">
        <f t="shared" ref="B7:B13" si="0">-O7-I7</f>
        <v>-107.64</v>
      </c>
      <c r="C7" s="32"/>
      <c r="D7" s="32"/>
      <c r="H7" s="32"/>
      <c r="I7" s="32">
        <v>80</v>
      </c>
      <c r="J7" s="32"/>
      <c r="K7" s="82"/>
      <c r="L7" s="32"/>
      <c r="O7" s="32">
        <v>27.64</v>
      </c>
      <c r="Q7" s="32"/>
      <c r="R7" s="39">
        <f>SUM(B7:Q7)</f>
        <v>0</v>
      </c>
      <c r="S7" s="32"/>
    </row>
    <row r="8" spans="1:19" x14ac:dyDescent="0.2">
      <c r="A8" s="70" t="s">
        <v>295</v>
      </c>
      <c r="B8" s="32">
        <f t="shared" si="0"/>
        <v>-80</v>
      </c>
      <c r="C8" s="32"/>
      <c r="D8" s="32"/>
      <c r="E8" s="32"/>
      <c r="F8" s="32"/>
      <c r="G8" s="32"/>
      <c r="H8" s="32"/>
      <c r="I8" s="32">
        <v>80</v>
      </c>
      <c r="J8" s="32"/>
      <c r="K8" s="82"/>
      <c r="L8" s="32"/>
      <c r="M8" s="32"/>
      <c r="N8" s="82"/>
      <c r="O8" s="32"/>
      <c r="Q8" s="32"/>
      <c r="R8" s="39">
        <f>SUM(B8:Q8)</f>
        <v>0</v>
      </c>
      <c r="S8" s="32"/>
    </row>
    <row r="9" spans="1:19" x14ac:dyDescent="0.2">
      <c r="A9" s="70" t="s">
        <v>296</v>
      </c>
      <c r="B9" s="32">
        <f t="shared" si="0"/>
        <v>-80</v>
      </c>
      <c r="C9" s="32"/>
      <c r="D9" s="32"/>
      <c r="H9" s="32"/>
      <c r="I9" s="32">
        <v>80</v>
      </c>
      <c r="J9" s="32"/>
      <c r="K9" s="82"/>
      <c r="L9" s="32"/>
      <c r="O9" s="32"/>
      <c r="R9" s="39">
        <f>SUM(B9:Q9)</f>
        <v>0</v>
      </c>
      <c r="S9" s="32"/>
    </row>
    <row r="10" spans="1:19" x14ac:dyDescent="0.2">
      <c r="A10" s="70" t="s">
        <v>296</v>
      </c>
      <c r="B10" s="32">
        <f t="shared" si="0"/>
        <v>-3500</v>
      </c>
      <c r="C10" s="32"/>
      <c r="D10" s="32"/>
      <c r="H10" s="32"/>
      <c r="I10" s="32">
        <f>3500</f>
        <v>3500</v>
      </c>
      <c r="J10" s="32"/>
      <c r="K10" s="82"/>
      <c r="L10" s="32"/>
      <c r="O10" s="32"/>
      <c r="R10" s="39"/>
      <c r="S10" s="32"/>
    </row>
    <row r="11" spans="1:19" x14ac:dyDescent="0.2">
      <c r="A11" s="70" t="s">
        <v>297</v>
      </c>
      <c r="B11" s="32">
        <f t="shared" si="0"/>
        <v>-109</v>
      </c>
      <c r="C11" s="32"/>
      <c r="D11" s="32"/>
      <c r="E11" s="32"/>
      <c r="F11" s="32"/>
      <c r="G11" s="32"/>
      <c r="H11" s="32"/>
      <c r="I11" s="32">
        <v>80</v>
      </c>
      <c r="J11" s="32"/>
      <c r="K11" s="82"/>
      <c r="L11" s="32"/>
      <c r="M11" s="32"/>
      <c r="N11" s="82"/>
      <c r="O11" s="32">
        <v>29</v>
      </c>
      <c r="Q11" s="32"/>
      <c r="R11" s="39">
        <f>SUM(B11:Q11)</f>
        <v>0</v>
      </c>
      <c r="S11" s="32"/>
    </row>
    <row r="12" spans="1:19" x14ac:dyDescent="0.2">
      <c r="A12" s="70" t="s">
        <v>298</v>
      </c>
      <c r="B12" s="32">
        <f t="shared" si="0"/>
        <v>-80</v>
      </c>
      <c r="C12" s="32"/>
      <c r="D12" s="32"/>
      <c r="H12" s="32"/>
      <c r="I12" s="32">
        <v>80</v>
      </c>
      <c r="J12" s="32"/>
      <c r="K12" s="82"/>
      <c r="L12" s="32"/>
      <c r="O12" s="32"/>
      <c r="R12" s="39">
        <f>SUM(B12:Q12)</f>
        <v>0</v>
      </c>
      <c r="S12" s="32"/>
    </row>
    <row r="13" spans="1:19" x14ac:dyDescent="0.2">
      <c r="A13" s="70" t="s">
        <v>325</v>
      </c>
      <c r="B13" s="32">
        <f t="shared" si="0"/>
        <v>-80</v>
      </c>
      <c r="C13" s="32"/>
      <c r="D13" s="32"/>
      <c r="H13" s="32"/>
      <c r="I13" s="32">
        <v>80</v>
      </c>
      <c r="J13" s="32"/>
      <c r="K13" s="82"/>
      <c r="L13" s="32"/>
      <c r="O13" s="32"/>
      <c r="Q13" s="32"/>
      <c r="R13" s="39">
        <f>SUM(B13:Q13)</f>
        <v>0</v>
      </c>
      <c r="S13" s="32"/>
    </row>
    <row r="14" spans="1:19" x14ac:dyDescent="0.2">
      <c r="A14" s="70" t="s">
        <v>325</v>
      </c>
      <c r="B14" s="32">
        <f>-O14-P14</f>
        <v>-500</v>
      </c>
      <c r="C14" s="32"/>
      <c r="D14" s="32"/>
      <c r="H14" s="32"/>
      <c r="J14" s="32"/>
      <c r="K14" s="82"/>
      <c r="L14" s="32"/>
      <c r="O14" s="32"/>
      <c r="P14" s="32">
        <v>500</v>
      </c>
      <c r="R14" s="39">
        <f>SUM(B14:P14)</f>
        <v>0</v>
      </c>
      <c r="S14" s="72" t="s">
        <v>469</v>
      </c>
    </row>
    <row r="15" spans="1:19" x14ac:dyDescent="0.2">
      <c r="A15" s="70" t="s">
        <v>325</v>
      </c>
      <c r="B15" s="32">
        <f>-P15-L15-D15</f>
        <v>248.05999999999949</v>
      </c>
      <c r="C15" s="32"/>
      <c r="D15" s="32">
        <v>-1200</v>
      </c>
      <c r="H15" s="32"/>
      <c r="I15" s="32"/>
      <c r="K15" s="82"/>
      <c r="L15" s="32">
        <v>-10800</v>
      </c>
      <c r="O15" s="32"/>
      <c r="P15" s="32">
        <v>11751.94</v>
      </c>
      <c r="R15" s="39">
        <f>SUM(B15:P15)</f>
        <v>0</v>
      </c>
      <c r="S15" s="113" t="s">
        <v>483</v>
      </c>
    </row>
    <row r="16" spans="1:19" x14ac:dyDescent="0.2">
      <c r="A16" s="70" t="s">
        <v>325</v>
      </c>
      <c r="B16" s="32">
        <f>-J16-L16-G16</f>
        <v>0</v>
      </c>
      <c r="C16" s="32"/>
      <c r="D16" s="32"/>
      <c r="G16">
        <v>721.29</v>
      </c>
      <c r="H16" s="32"/>
      <c r="I16" s="32"/>
      <c r="J16" s="32">
        <v>230.65</v>
      </c>
      <c r="K16" s="82"/>
      <c r="L16" s="32">
        <f>-J16-G16</f>
        <v>-951.93999999999994</v>
      </c>
      <c r="O16" s="32"/>
      <c r="P16" s="32"/>
      <c r="R16" s="39">
        <f>SUM(B16:P16)</f>
        <v>0</v>
      </c>
      <c r="S16" s="32"/>
    </row>
    <row r="17" spans="1:19" x14ac:dyDescent="0.2">
      <c r="A17" s="70" t="s">
        <v>437</v>
      </c>
      <c r="B17" s="32">
        <f>-J17-L17-G17</f>
        <v>0</v>
      </c>
      <c r="C17" s="32">
        <v>-1200</v>
      </c>
      <c r="D17" s="32">
        <f>-C17</f>
        <v>1200</v>
      </c>
      <c r="H17" s="32"/>
      <c r="I17" s="32"/>
      <c r="J17" s="32"/>
      <c r="K17" s="82"/>
      <c r="L17" s="32"/>
      <c r="O17" s="32"/>
      <c r="P17" s="32"/>
      <c r="R17" s="39">
        <f>SUM(B17:P17)</f>
        <v>0</v>
      </c>
      <c r="S17" s="32"/>
    </row>
    <row r="18" spans="1:19" x14ac:dyDescent="0.2">
      <c r="A18" s="70" t="s">
        <v>326</v>
      </c>
      <c r="B18" s="32">
        <f>-O18-I18</f>
        <v>-109.53</v>
      </c>
      <c r="C18" s="32"/>
      <c r="D18" s="32"/>
      <c r="H18" s="32"/>
      <c r="I18" s="32">
        <v>80</v>
      </c>
      <c r="J18" s="32"/>
      <c r="K18" s="82"/>
      <c r="L18" s="32"/>
      <c r="M18" s="32"/>
      <c r="N18" s="82"/>
      <c r="O18" s="32">
        <v>29.53</v>
      </c>
      <c r="Q18" s="32"/>
      <c r="R18" s="39">
        <f>SUM(B18:O18)</f>
        <v>0</v>
      </c>
      <c r="S18" s="32"/>
    </row>
    <row r="19" spans="1:19" x14ac:dyDescent="0.2">
      <c r="A19" s="70" t="s">
        <v>438</v>
      </c>
      <c r="B19" s="32"/>
      <c r="C19" s="32">
        <v>-500</v>
      </c>
      <c r="D19" s="32">
        <f>-C19</f>
        <v>500</v>
      </c>
      <c r="H19" s="32"/>
      <c r="I19" s="32"/>
      <c r="J19" s="32"/>
      <c r="K19" s="82"/>
      <c r="L19" s="32"/>
      <c r="M19" s="32"/>
      <c r="N19" s="82"/>
      <c r="O19" s="32"/>
      <c r="P19" s="32"/>
      <c r="Q19" s="32"/>
      <c r="R19" s="39">
        <f>SUM(B19:Q19)</f>
        <v>0</v>
      </c>
      <c r="S19" s="32"/>
    </row>
    <row r="20" spans="1:19" x14ac:dyDescent="0.2">
      <c r="A20" t="s">
        <v>329</v>
      </c>
      <c r="B20" s="32">
        <f>-P20-O20-I20-D20</f>
        <v>-100</v>
      </c>
      <c r="C20" s="32"/>
      <c r="D20" s="32"/>
      <c r="H20" s="32"/>
      <c r="I20" s="32"/>
      <c r="J20" s="32"/>
      <c r="K20" s="82"/>
      <c r="L20" s="32"/>
      <c r="M20" s="32"/>
      <c r="N20" s="82"/>
      <c r="O20" s="32"/>
      <c r="P20" s="32">
        <v>100</v>
      </c>
      <c r="Q20" s="32"/>
      <c r="R20" s="39">
        <f>SUM(B20:Q20)</f>
        <v>0</v>
      </c>
      <c r="S20" s="72" t="s">
        <v>469</v>
      </c>
    </row>
    <row r="21" spans="1:19" x14ac:dyDescent="0.2">
      <c r="A21" s="70" t="s">
        <v>329</v>
      </c>
      <c r="B21" s="32">
        <f>-I21-O21-D21</f>
        <v>172.61</v>
      </c>
      <c r="C21" s="32"/>
      <c r="D21" s="32">
        <v>-500</v>
      </c>
      <c r="E21" s="32"/>
      <c r="F21" s="32"/>
      <c r="G21" s="32"/>
      <c r="H21" s="32"/>
      <c r="I21" s="32">
        <f>+(3*80)</f>
        <v>240</v>
      </c>
      <c r="J21" s="32"/>
      <c r="K21" s="82"/>
      <c r="L21" s="32"/>
      <c r="M21" s="32"/>
      <c r="N21" s="82"/>
      <c r="O21" s="32">
        <f>59.9+27.49</f>
        <v>87.39</v>
      </c>
      <c r="R21" s="39">
        <f>SUM(B21:Q21)</f>
        <v>0</v>
      </c>
    </row>
    <row r="22" spans="1:19" x14ac:dyDescent="0.2">
      <c r="A22" s="70" t="s">
        <v>346</v>
      </c>
      <c r="B22" s="32">
        <f>-I22-O22-L22</f>
        <v>7420</v>
      </c>
      <c r="C22" s="32"/>
      <c r="D22" s="32"/>
      <c r="E22" s="32"/>
      <c r="F22" s="32"/>
      <c r="G22" s="32"/>
      <c r="H22" s="32"/>
      <c r="I22" s="32">
        <v>80</v>
      </c>
      <c r="J22" s="32"/>
      <c r="K22" s="82"/>
      <c r="L22" s="32">
        <v>-7500</v>
      </c>
      <c r="M22" s="32"/>
      <c r="N22" s="82"/>
      <c r="O22" s="32"/>
      <c r="R22" s="39">
        <f>SUM(B22:O22)</f>
        <v>0</v>
      </c>
      <c r="S22" s="32"/>
    </row>
    <row r="23" spans="1:19" x14ac:dyDescent="0.2">
      <c r="A23" s="70" t="s">
        <v>454</v>
      </c>
      <c r="B23" s="32">
        <f>-P23-O23-E23-L23</f>
        <v>167.54</v>
      </c>
      <c r="C23" s="32"/>
      <c r="D23" s="32"/>
      <c r="E23" s="32">
        <v>-167.54</v>
      </c>
      <c r="F23" s="32"/>
      <c r="G23" s="32"/>
      <c r="H23" s="32"/>
      <c r="I23" s="32"/>
      <c r="J23" s="32"/>
      <c r="K23" s="82"/>
      <c r="L23" s="32"/>
      <c r="M23" s="32"/>
      <c r="N23" s="82"/>
      <c r="P23" s="32"/>
      <c r="R23" s="39">
        <f>SUM(B23:P23)</f>
        <v>0</v>
      </c>
      <c r="S23" s="32"/>
    </row>
    <row r="24" spans="1:19" x14ac:dyDescent="0.2">
      <c r="A24" s="70" t="s">
        <v>440</v>
      </c>
      <c r="B24" s="95"/>
      <c r="C24" s="95">
        <v>14.62</v>
      </c>
      <c r="D24" s="95"/>
      <c r="E24" s="95"/>
      <c r="F24" s="95"/>
      <c r="G24" s="95"/>
      <c r="H24" s="95"/>
      <c r="I24" s="95"/>
      <c r="J24" s="95"/>
      <c r="K24" s="82"/>
      <c r="L24" s="95"/>
      <c r="M24" s="95">
        <v>-14.62</v>
      </c>
      <c r="N24" s="82"/>
      <c r="O24" s="95"/>
      <c r="P24" s="95"/>
      <c r="Q24" s="95"/>
      <c r="R24" s="39">
        <f>SUM(B24:Q24)</f>
        <v>0</v>
      </c>
      <c r="S24" s="95"/>
    </row>
    <row r="25" spans="1:19" x14ac:dyDescent="0.2">
      <c r="B25" s="32"/>
      <c r="C25" s="32"/>
      <c r="D25" s="32"/>
      <c r="E25" s="32"/>
      <c r="F25" s="32"/>
      <c r="G25" s="32"/>
      <c r="H25" s="32"/>
      <c r="I25" s="32"/>
      <c r="J25" s="32"/>
      <c r="K25" s="82"/>
      <c r="L25" s="32"/>
      <c r="M25" s="32"/>
      <c r="N25" s="82"/>
      <c r="O25" s="32"/>
      <c r="P25" s="32"/>
      <c r="Q25" s="32"/>
      <c r="R25" s="39">
        <f>SUM(B25:Q25)</f>
        <v>0</v>
      </c>
      <c r="S25" s="32"/>
    </row>
    <row r="26" spans="1:19" s="20" customFormat="1" x14ac:dyDescent="0.2">
      <c r="A26" s="20" t="s">
        <v>203</v>
      </c>
      <c r="B26" s="39">
        <f t="shared" ref="B26:J26" si="1">SUM(B5:B25)</f>
        <v>7668.9999999999964</v>
      </c>
      <c r="C26" s="39">
        <f t="shared" si="1"/>
        <v>13671.339999999998</v>
      </c>
      <c r="D26" s="39">
        <f>SUM(D5:D25)</f>
        <v>0</v>
      </c>
      <c r="E26" s="39">
        <f>SUM(E5:E25)</f>
        <v>0</v>
      </c>
      <c r="F26" s="39">
        <f>SUM(F5:F25)</f>
        <v>0</v>
      </c>
      <c r="G26" s="39">
        <f>SUM(G5:G25)</f>
        <v>721.29</v>
      </c>
      <c r="H26" s="39">
        <f t="shared" si="1"/>
        <v>-4230.5700000000015</v>
      </c>
      <c r="I26" s="39">
        <f t="shared" si="1"/>
        <v>-11090</v>
      </c>
      <c r="J26" s="39">
        <f t="shared" si="1"/>
        <v>0</v>
      </c>
      <c r="K26" s="83">
        <f>SUM(K5:K25)</f>
        <v>0</v>
      </c>
      <c r="L26" s="39">
        <f>SUM(L5:L25)</f>
        <v>-19251.940000000002</v>
      </c>
      <c r="M26" s="39">
        <f>SUM(M5:M25)</f>
        <v>-14.62</v>
      </c>
      <c r="N26" s="83"/>
      <c r="O26" s="39">
        <f>SUM(O5:O25)</f>
        <v>173.56</v>
      </c>
      <c r="P26" s="39">
        <f>SUM(P5:P25)</f>
        <v>12351.94</v>
      </c>
      <c r="Q26" s="39">
        <f>SUM(Q5:Q25)</f>
        <v>0</v>
      </c>
      <c r="R26" s="39">
        <f>SUM(B26:Q26)</f>
        <v>-5.4569682106375694E-12</v>
      </c>
      <c r="S26" s="39"/>
    </row>
    <row r="27" spans="1:19" s="20" customFormat="1" x14ac:dyDescent="0.2">
      <c r="B27" s="39"/>
      <c r="C27" s="39"/>
      <c r="D27" s="39"/>
      <c r="E27" s="39"/>
      <c r="F27" s="39"/>
      <c r="G27" s="39"/>
      <c r="H27" s="39"/>
      <c r="I27" s="39"/>
      <c r="J27" s="39"/>
      <c r="K27" s="83"/>
      <c r="L27" s="39"/>
      <c r="M27" s="39"/>
      <c r="N27" s="83"/>
      <c r="O27" s="39"/>
      <c r="P27" s="39"/>
      <c r="Q27" s="39"/>
      <c r="R27" s="39"/>
      <c r="S27" s="39"/>
    </row>
    <row r="28" spans="1:19" x14ac:dyDescent="0.2">
      <c r="A28" s="20" t="s">
        <v>199</v>
      </c>
      <c r="B28" s="32"/>
      <c r="C28" s="32"/>
      <c r="D28" s="32"/>
      <c r="E28" s="32"/>
      <c r="F28" s="32"/>
      <c r="G28" s="32"/>
      <c r="H28" s="32"/>
      <c r="I28" s="32"/>
      <c r="J28" s="32"/>
      <c r="K28" s="82"/>
      <c r="L28" s="32"/>
      <c r="M28" s="32"/>
      <c r="N28" s="82"/>
      <c r="O28" s="32"/>
      <c r="P28" s="32"/>
      <c r="Q28" s="32"/>
      <c r="R28" s="32"/>
      <c r="S28" s="32"/>
    </row>
    <row r="29" spans="1:19" x14ac:dyDescent="0.2">
      <c r="A29" s="70" t="s">
        <v>219</v>
      </c>
      <c r="B29" s="32"/>
      <c r="C29" s="32"/>
      <c r="D29" s="32"/>
      <c r="E29" s="72">
        <f>+O26</f>
        <v>173.56</v>
      </c>
      <c r="F29" s="72"/>
      <c r="G29" s="72"/>
      <c r="H29" s="32"/>
      <c r="I29" s="32"/>
      <c r="J29" s="32"/>
      <c r="K29" s="82"/>
      <c r="L29" s="47">
        <f>-O26</f>
        <v>-173.56</v>
      </c>
      <c r="M29" s="32"/>
      <c r="N29" s="82"/>
      <c r="P29" s="32"/>
      <c r="Q29" s="32"/>
      <c r="R29" s="32">
        <f>SUM(B29:Q29)</f>
        <v>0</v>
      </c>
      <c r="S29" s="32"/>
    </row>
    <row r="30" spans="1:19" x14ac:dyDescent="0.2">
      <c r="A30" s="70" t="s">
        <v>448</v>
      </c>
      <c r="B30" s="32"/>
      <c r="C30" s="32"/>
      <c r="D30" s="32"/>
      <c r="H30" s="32"/>
      <c r="I30" s="32">
        <v>3000</v>
      </c>
      <c r="J30" s="32"/>
      <c r="K30" s="82"/>
      <c r="M30" s="32"/>
      <c r="N30" s="82"/>
      <c r="O30" s="32"/>
      <c r="P30" s="32"/>
      <c r="Q30" s="32">
        <f>-I30</f>
        <v>-3000</v>
      </c>
      <c r="R30" s="32">
        <f>SUM(B30:Q30)</f>
        <v>0</v>
      </c>
      <c r="S30" s="32"/>
    </row>
    <row r="31" spans="1:19" x14ac:dyDescent="0.2">
      <c r="A31" s="20" t="s">
        <v>482</v>
      </c>
      <c r="B31" s="32"/>
      <c r="C31" s="32"/>
      <c r="D31" s="32"/>
      <c r="F31" s="32">
        <v>1000</v>
      </c>
      <c r="H31" s="32"/>
      <c r="I31" s="32"/>
      <c r="J31" s="32"/>
      <c r="K31" s="82"/>
      <c r="L31" s="32">
        <v>-1000</v>
      </c>
      <c r="M31" s="32"/>
      <c r="N31" s="82"/>
      <c r="O31" s="32"/>
      <c r="P31" s="32"/>
      <c r="Q31" s="32"/>
      <c r="R31" s="32"/>
      <c r="S31" s="32"/>
    </row>
    <row r="32" spans="1:19" x14ac:dyDescent="0.2">
      <c r="A32" s="70" t="s">
        <v>458</v>
      </c>
      <c r="B32" s="32"/>
      <c r="C32" s="32"/>
      <c r="D32" s="32"/>
      <c r="E32" s="32"/>
      <c r="G32" s="32"/>
      <c r="H32" s="32"/>
      <c r="I32" s="32">
        <v>-2500</v>
      </c>
      <c r="J32" s="32"/>
      <c r="K32" s="82"/>
      <c r="L32" s="32"/>
      <c r="M32" s="32"/>
      <c r="N32" s="82"/>
      <c r="O32" s="32"/>
      <c r="P32" s="32">
        <v>2500</v>
      </c>
      <c r="R32" s="32">
        <f>SUM(B32:P32)</f>
        <v>0</v>
      </c>
      <c r="S32" s="32"/>
    </row>
    <row r="33" spans="1:19" x14ac:dyDescent="0.2">
      <c r="A33" s="70" t="s">
        <v>363</v>
      </c>
      <c r="B33" s="32"/>
      <c r="C33" s="32"/>
      <c r="D33" s="32"/>
      <c r="E33" s="32"/>
      <c r="F33" s="32"/>
      <c r="G33" s="32"/>
      <c r="Q33" s="32"/>
      <c r="R33" s="32">
        <f>SUM(B33:Q33)</f>
        <v>0</v>
      </c>
      <c r="S33" s="32"/>
    </row>
    <row r="34" spans="1:19" x14ac:dyDescent="0.2">
      <c r="B34" s="32"/>
      <c r="C34" s="32"/>
      <c r="D34" s="32"/>
      <c r="E34" s="32"/>
      <c r="F34" s="32"/>
      <c r="G34" s="32"/>
      <c r="H34" s="32"/>
      <c r="I34" s="32"/>
      <c r="J34" s="32"/>
      <c r="K34" s="82"/>
      <c r="L34" s="32"/>
      <c r="M34" s="32"/>
      <c r="N34" s="82"/>
      <c r="O34" s="32"/>
      <c r="P34" s="32"/>
      <c r="Q34" s="32"/>
      <c r="R34" s="32"/>
      <c r="S34" s="32"/>
    </row>
    <row r="35" spans="1:19" s="20" customFormat="1" x14ac:dyDescent="0.2">
      <c r="A35" s="20" t="s">
        <v>194</v>
      </c>
      <c r="B35" s="39">
        <f t="shared" ref="B35:J35" si="2">+SUM(B26:B34)</f>
        <v>7668.9999999999964</v>
      </c>
      <c r="C35" s="39">
        <f t="shared" si="2"/>
        <v>13671.339999999998</v>
      </c>
      <c r="D35" s="39">
        <f t="shared" si="2"/>
        <v>0</v>
      </c>
      <c r="E35" s="39">
        <f t="shared" si="2"/>
        <v>173.56</v>
      </c>
      <c r="F35" s="39">
        <f t="shared" si="2"/>
        <v>1000</v>
      </c>
      <c r="G35" s="39">
        <f t="shared" si="2"/>
        <v>721.29</v>
      </c>
      <c r="H35" s="39">
        <f t="shared" si="2"/>
        <v>-4230.5700000000015</v>
      </c>
      <c r="I35" s="39">
        <f t="shared" si="2"/>
        <v>-10590</v>
      </c>
      <c r="J35" s="39">
        <f t="shared" si="2"/>
        <v>0</v>
      </c>
      <c r="K35" s="83"/>
      <c r="L35" s="39">
        <f>+SUM(L26:L34)</f>
        <v>-20425.500000000004</v>
      </c>
      <c r="M35" s="39">
        <f>+SUM(M26:M34)</f>
        <v>-14.62</v>
      </c>
      <c r="N35" s="83"/>
      <c r="O35" s="39">
        <f>+SUM(O26:O34)</f>
        <v>173.56</v>
      </c>
      <c r="P35" s="39">
        <f>+SUM(P26:P34)</f>
        <v>14851.94</v>
      </c>
      <c r="Q35" s="39">
        <f>+SUM(Q26:Q34)</f>
        <v>-3000</v>
      </c>
      <c r="R35" s="39">
        <f>SUM(B35:J35)+SUM(L35:M35)+SUM(O35:Q35)</f>
        <v>0</v>
      </c>
      <c r="S35" s="39"/>
    </row>
    <row r="36" spans="1:19" x14ac:dyDescent="0.2">
      <c r="B36" s="32"/>
      <c r="C36" s="32"/>
      <c r="D36" s="32"/>
      <c r="E36" s="32"/>
      <c r="F36" s="32"/>
      <c r="G36" s="32"/>
      <c r="H36" s="32"/>
      <c r="I36" s="32"/>
      <c r="J36" s="32"/>
      <c r="K36" s="82"/>
      <c r="L36" s="32"/>
      <c r="M36" s="32"/>
      <c r="N36" s="82"/>
      <c r="O36" s="32"/>
      <c r="P36" s="32"/>
      <c r="Q36" s="32"/>
      <c r="R36" s="32"/>
      <c r="S36" s="32"/>
    </row>
    <row r="37" spans="1:19" s="20" customFormat="1" x14ac:dyDescent="0.2">
      <c r="A37" s="20" t="s">
        <v>506</v>
      </c>
      <c r="B37" s="39"/>
      <c r="C37" s="39"/>
      <c r="D37" s="39"/>
      <c r="H37" s="111">
        <f>+SUM(L37:M37)+SUM(O37:Q37)</f>
        <v>8414.6200000000026</v>
      </c>
      <c r="I37" s="32"/>
      <c r="J37" s="32"/>
      <c r="K37" s="82"/>
      <c r="L37" s="32">
        <f>-L35</f>
        <v>20425.500000000004</v>
      </c>
      <c r="M37" s="32">
        <f>-M26</f>
        <v>14.62</v>
      </c>
      <c r="N37" s="82"/>
      <c r="O37" s="32">
        <f>-O35</f>
        <v>-173.56</v>
      </c>
      <c r="P37" s="32">
        <f>-P35</f>
        <v>-14851.94</v>
      </c>
      <c r="Q37" s="72">
        <f>-Q35</f>
        <v>3000</v>
      </c>
      <c r="R37" s="39">
        <f>+SUM(L37:M37)+SUM(O37:Q37)</f>
        <v>8414.6200000000026</v>
      </c>
      <c r="S37" s="39"/>
    </row>
    <row r="38" spans="1:19" x14ac:dyDescent="0.2">
      <c r="B38" s="32"/>
      <c r="C38" s="32"/>
      <c r="D38" s="32"/>
      <c r="E38" s="32"/>
      <c r="F38" s="32"/>
      <c r="G38" s="32"/>
      <c r="H38" s="32"/>
      <c r="I38" s="32"/>
      <c r="J38" s="32"/>
      <c r="K38" s="82"/>
      <c r="L38" s="32"/>
      <c r="M38" s="32"/>
      <c r="N38" s="82"/>
      <c r="O38" s="32"/>
      <c r="P38" s="32"/>
      <c r="Q38" s="32"/>
      <c r="R38" s="32"/>
      <c r="S38" s="32"/>
    </row>
    <row r="39" spans="1:19" s="20" customFormat="1" x14ac:dyDescent="0.2">
      <c r="A39" s="20" t="s">
        <v>240</v>
      </c>
      <c r="B39" s="39">
        <f>+B35+B37</f>
        <v>7668.9999999999964</v>
      </c>
      <c r="C39" s="39">
        <f>+C35+C37</f>
        <v>13671.339999999998</v>
      </c>
      <c r="D39" s="39">
        <f t="shared" ref="D39:J39" si="3">+D35+D37</f>
        <v>0</v>
      </c>
      <c r="E39" s="39">
        <f t="shared" si="3"/>
        <v>173.56</v>
      </c>
      <c r="F39" s="39">
        <f t="shared" si="3"/>
        <v>1000</v>
      </c>
      <c r="G39" s="39">
        <f t="shared" si="3"/>
        <v>721.29</v>
      </c>
      <c r="H39" s="39">
        <f>+H35-H37</f>
        <v>-12645.190000000004</v>
      </c>
      <c r="I39" s="39">
        <f t="shared" si="3"/>
        <v>-10590</v>
      </c>
      <c r="J39" s="39">
        <f t="shared" si="3"/>
        <v>0</v>
      </c>
      <c r="K39" s="83"/>
      <c r="L39" s="39">
        <f t="shared" ref="L39:Q39" si="4">+L35+L37</f>
        <v>0</v>
      </c>
      <c r="M39" s="39">
        <f t="shared" si="4"/>
        <v>0</v>
      </c>
      <c r="N39" s="83"/>
      <c r="O39" s="39">
        <f t="shared" si="4"/>
        <v>0</v>
      </c>
      <c r="P39" s="39">
        <f t="shared" si="4"/>
        <v>0</v>
      </c>
      <c r="Q39" s="39">
        <f t="shared" si="4"/>
        <v>0</v>
      </c>
      <c r="R39" s="39">
        <f>SUM(B39:J39)</f>
        <v>-5.4569682106375694E-12</v>
      </c>
      <c r="S39" s="39"/>
    </row>
    <row r="44" spans="1:19" x14ac:dyDescent="0.2">
      <c r="A44" s="70" t="s">
        <v>452</v>
      </c>
    </row>
    <row r="45" spans="1:19" x14ac:dyDescent="0.2">
      <c r="A45" s="70" t="s">
        <v>449</v>
      </c>
      <c r="B45">
        <v>4250</v>
      </c>
      <c r="H45" s="112"/>
    </row>
    <row r="46" spans="1:19" x14ac:dyDescent="0.2">
      <c r="A46" s="70" t="s">
        <v>450</v>
      </c>
      <c r="B46">
        <f>4*80*12</f>
        <v>3840</v>
      </c>
    </row>
    <row r="47" spans="1:19" x14ac:dyDescent="0.2">
      <c r="A47" s="70" t="s">
        <v>457</v>
      </c>
      <c r="B47">
        <v>2500</v>
      </c>
    </row>
    <row r="48" spans="1:19" x14ac:dyDescent="0.2">
      <c r="B48">
        <f>+B46+B45+B47</f>
        <v>10590</v>
      </c>
      <c r="C48" s="70" t="s">
        <v>451</v>
      </c>
      <c r="J48" s="32"/>
      <c r="K48" s="82"/>
    </row>
  </sheetData>
  <phoneticPr fontId="6" type="noConversion"/>
  <pageMargins left="0.74803149606299213" right="0.74803149606299213" top="0.98425196850393704" bottom="0.98425196850393704" header="0.51181102362204722" footer="0.51181102362204722"/>
  <pageSetup scale="70" orientation="landscape" r:id="rId1"/>
  <headerFooter alignWithMargins="0">
    <oddFooter>&amp;L&amp;F,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FA3D-0ACB-4E9F-A665-2ABC460CB73F}">
  <sheetPr>
    <pageSetUpPr fitToPage="1"/>
  </sheetPr>
  <dimension ref="A1:BA31"/>
  <sheetViews>
    <sheetView zoomScale="136" zoomScaleNormal="136" workbookViewId="0">
      <selection sqref="A1:R31"/>
    </sheetView>
  </sheetViews>
  <sheetFormatPr defaultColWidth="8.85546875" defaultRowHeight="12.75" x14ac:dyDescent="0.2"/>
  <cols>
    <col min="1" max="1" width="6.42578125" customWidth="1"/>
    <col min="3" max="3" width="40.28515625" customWidth="1"/>
    <col min="4" max="4" width="10.7109375" bestFit="1" customWidth="1"/>
    <col min="5" max="5" width="11" bestFit="1" customWidth="1"/>
    <col min="6" max="6" width="2.85546875" customWidth="1"/>
    <col min="7" max="8" width="9.140625" customWidth="1"/>
    <col min="9" max="9" width="2.42578125" customWidth="1"/>
    <col min="10" max="10" width="9.28515625" style="4" customWidth="1"/>
    <col min="11" max="11" width="9.28515625" style="201" customWidth="1"/>
    <col min="12" max="12" width="2.42578125" customWidth="1"/>
    <col min="13" max="13" width="9.28515625" style="4" customWidth="1"/>
    <col min="14" max="14" width="10" style="201" customWidth="1"/>
    <col min="15" max="15" width="2.42578125" customWidth="1"/>
    <col min="16" max="16" width="8.28515625" style="4" bestFit="1" customWidth="1"/>
    <col min="17" max="17" width="10" style="201" customWidth="1"/>
    <col min="18" max="18" width="2.42578125" customWidth="1"/>
    <col min="19" max="19" width="9.140625" style="4" customWidth="1"/>
    <col min="20" max="20" width="11" style="195" bestFit="1" customWidth="1"/>
    <col min="21" max="21" width="2.42578125" customWidth="1"/>
    <col min="22" max="22" width="9.140625" style="4" customWidth="1"/>
    <col min="23" max="23" width="11.42578125" style="195" bestFit="1" customWidth="1"/>
    <col min="24" max="24" width="2.42578125" customWidth="1"/>
    <col min="25" max="25" width="9.140625" style="4" customWidth="1"/>
    <col min="26" max="26" width="11.42578125" customWidth="1"/>
    <col min="27" max="27" width="2.42578125" customWidth="1"/>
    <col min="28" max="28" width="9.140625" style="4" customWidth="1"/>
    <col min="30" max="30" width="2.42578125" customWidth="1"/>
    <col min="31" max="31" width="9.140625" style="4" customWidth="1"/>
    <col min="33" max="33" width="2.42578125" customWidth="1"/>
    <col min="34" max="34" width="9.140625" style="4" customWidth="1"/>
    <col min="36" max="36" width="2.42578125" customWidth="1"/>
    <col min="37" max="37" width="9.140625" style="4" customWidth="1"/>
    <col min="39" max="39" width="2.42578125" customWidth="1"/>
    <col min="40" max="40" width="9.140625" style="4" customWidth="1"/>
    <col min="42" max="42" width="2.42578125" customWidth="1"/>
    <col min="43" max="43" width="9.140625" style="4" customWidth="1"/>
    <col min="45" max="45" width="2.42578125" customWidth="1"/>
    <col min="48" max="48" width="2.42578125" customWidth="1"/>
  </cols>
  <sheetData>
    <row r="1" spans="1:50" ht="20.25" x14ac:dyDescent="0.3">
      <c r="A1" s="10" t="s">
        <v>69</v>
      </c>
    </row>
    <row r="3" spans="1:50" s="109" customFormat="1" x14ac:dyDescent="0.2">
      <c r="D3" s="241">
        <v>45657</v>
      </c>
      <c r="E3" s="242"/>
      <c r="G3" s="245">
        <v>45291</v>
      </c>
      <c r="H3" s="246"/>
      <c r="J3" s="239">
        <v>44926</v>
      </c>
      <c r="K3" s="240"/>
      <c r="M3" s="239">
        <v>44561</v>
      </c>
      <c r="N3" s="240"/>
      <c r="P3" s="239">
        <v>44196</v>
      </c>
      <c r="Q3" s="240"/>
      <c r="S3" s="239">
        <v>43830</v>
      </c>
      <c r="T3" s="240"/>
      <c r="V3" s="239">
        <v>43465</v>
      </c>
      <c r="W3" s="240"/>
      <c r="Y3" s="239">
        <v>43100</v>
      </c>
      <c r="Z3" s="240"/>
      <c r="AB3" s="247">
        <v>42735</v>
      </c>
      <c r="AC3" s="247"/>
      <c r="AE3" s="247">
        <v>42369</v>
      </c>
      <c r="AF3" s="247"/>
      <c r="AH3" s="247">
        <v>42004</v>
      </c>
      <c r="AI3" s="247"/>
      <c r="AK3" s="247">
        <v>41639</v>
      </c>
      <c r="AL3" s="247"/>
      <c r="AN3" s="247">
        <v>41274</v>
      </c>
      <c r="AO3" s="247"/>
      <c r="AQ3" s="247">
        <v>40908</v>
      </c>
      <c r="AR3" s="247"/>
      <c r="AT3" s="247">
        <v>40543</v>
      </c>
      <c r="AU3" s="247"/>
      <c r="AV3" s="110"/>
      <c r="AW3" s="247">
        <v>40178</v>
      </c>
      <c r="AX3" s="247"/>
    </row>
    <row r="4" spans="1:50" x14ac:dyDescent="0.2">
      <c r="D4" s="243" t="s">
        <v>73</v>
      </c>
      <c r="E4" s="244"/>
      <c r="G4" s="243" t="s">
        <v>73</v>
      </c>
      <c r="H4" s="244"/>
      <c r="J4" s="243" t="s">
        <v>73</v>
      </c>
      <c r="K4" s="244"/>
      <c r="M4" s="243" t="s">
        <v>73</v>
      </c>
      <c r="N4" s="244"/>
      <c r="P4" s="243" t="s">
        <v>73</v>
      </c>
      <c r="Q4" s="244"/>
      <c r="S4" s="243" t="s">
        <v>73</v>
      </c>
      <c r="T4" s="244"/>
      <c r="V4" s="243" t="s">
        <v>73</v>
      </c>
      <c r="W4" s="244"/>
      <c r="Y4" s="243" t="s">
        <v>73</v>
      </c>
      <c r="Z4" s="244"/>
      <c r="AB4" s="248" t="s">
        <v>73</v>
      </c>
      <c r="AC4" s="248"/>
      <c r="AE4" s="248" t="s">
        <v>73</v>
      </c>
      <c r="AF4" s="248"/>
      <c r="AH4" s="248" t="s">
        <v>73</v>
      </c>
      <c r="AI4" s="248"/>
      <c r="AK4" s="248" t="s">
        <v>73</v>
      </c>
      <c r="AL4" s="248"/>
      <c r="AN4" s="248" t="s">
        <v>73</v>
      </c>
      <c r="AO4" s="248"/>
      <c r="AQ4" s="248" t="s">
        <v>73</v>
      </c>
      <c r="AR4" s="248"/>
      <c r="AT4" s="248" t="s">
        <v>73</v>
      </c>
      <c r="AU4" s="248"/>
      <c r="AV4" s="35"/>
      <c r="AW4" s="248" t="s">
        <v>73</v>
      </c>
      <c r="AX4" s="248"/>
    </row>
    <row r="5" spans="1:50" ht="15.75" x14ac:dyDescent="0.25">
      <c r="A5" s="2" t="s">
        <v>21</v>
      </c>
      <c r="E5" s="196"/>
      <c r="H5" s="196"/>
      <c r="K5" s="196"/>
      <c r="N5" s="196"/>
      <c r="Q5" s="196"/>
      <c r="T5" s="196"/>
      <c r="W5" s="196"/>
      <c r="Z5" s="173"/>
      <c r="AC5" s="173"/>
      <c r="AF5" s="8"/>
      <c r="AI5" s="8"/>
      <c r="AL5" s="8"/>
      <c r="AO5" s="8"/>
      <c r="AR5" s="8"/>
      <c r="AT5" s="5"/>
      <c r="AU5" s="8"/>
      <c r="AV5" s="7"/>
      <c r="AW5" s="5"/>
      <c r="AX5" s="8"/>
    </row>
    <row r="6" spans="1:50" s="12" customFormat="1" ht="19.5" customHeight="1" x14ac:dyDescent="0.2">
      <c r="A6" s="11" t="s">
        <v>23</v>
      </c>
      <c r="E6" s="197"/>
      <c r="H6" s="197"/>
      <c r="J6" s="68"/>
      <c r="K6" s="197"/>
      <c r="M6" s="68"/>
      <c r="N6" s="197"/>
      <c r="P6" s="68"/>
      <c r="Q6" s="197"/>
      <c r="S6" s="68"/>
      <c r="T6" s="197"/>
      <c r="V6" s="68"/>
      <c r="W6" s="197"/>
      <c r="Y6" s="68"/>
      <c r="Z6" s="188"/>
      <c r="AB6" s="68"/>
      <c r="AC6" s="188"/>
      <c r="AE6" s="68"/>
      <c r="AF6" s="14"/>
      <c r="AH6" s="68"/>
      <c r="AI6" s="14"/>
      <c r="AK6" s="68"/>
      <c r="AL6" s="14"/>
      <c r="AN6" s="68"/>
      <c r="AO6" s="14"/>
      <c r="AQ6" s="68"/>
      <c r="AR6" s="14"/>
      <c r="AT6" s="13"/>
      <c r="AU6" s="14"/>
      <c r="AV6" s="36"/>
      <c r="AW6" s="13"/>
      <c r="AX6" s="14"/>
    </row>
    <row r="7" spans="1:50" x14ac:dyDescent="0.2">
      <c r="A7" t="s">
        <v>25</v>
      </c>
      <c r="E7" s="202">
        <v>0</v>
      </c>
      <c r="H7" s="202">
        <v>0</v>
      </c>
      <c r="K7" s="202">
        <v>0</v>
      </c>
      <c r="N7" s="202">
        <v>0</v>
      </c>
      <c r="Q7" s="202">
        <v>0</v>
      </c>
      <c r="T7" s="196">
        <v>0</v>
      </c>
      <c r="W7" s="196">
        <v>0</v>
      </c>
      <c r="Z7" s="173">
        <v>0</v>
      </c>
      <c r="AC7" s="173">
        <v>0</v>
      </c>
      <c r="AF7" s="8">
        <v>0</v>
      </c>
      <c r="AI7" s="8">
        <v>0</v>
      </c>
      <c r="AL7" s="8">
        <v>0</v>
      </c>
      <c r="AO7" s="8">
        <v>0</v>
      </c>
      <c r="AR7" s="8">
        <v>0</v>
      </c>
      <c r="AT7" s="5"/>
      <c r="AU7" s="8">
        <v>0</v>
      </c>
      <c r="AV7" s="7"/>
      <c r="AW7" s="5"/>
      <c r="AX7" s="8">
        <v>0</v>
      </c>
    </row>
    <row r="8" spans="1:50" x14ac:dyDescent="0.2">
      <c r="E8" s="196"/>
      <c r="H8" s="196"/>
      <c r="K8" s="196"/>
      <c r="N8" s="196"/>
      <c r="Q8" s="196"/>
      <c r="T8" s="196"/>
      <c r="W8" s="196"/>
      <c r="Z8" s="173"/>
      <c r="AC8" s="173"/>
      <c r="AF8" s="8"/>
      <c r="AI8" s="8"/>
      <c r="AL8" s="8"/>
      <c r="AO8" s="8"/>
      <c r="AR8" s="8"/>
      <c r="AT8" s="5"/>
      <c r="AU8" s="8"/>
      <c r="AV8" s="7"/>
      <c r="AW8" s="5"/>
      <c r="AX8" s="8"/>
    </row>
    <row r="9" spans="1:50" s="12" customFormat="1" ht="19.5" customHeight="1" x14ac:dyDescent="0.2">
      <c r="A9" s="11" t="s">
        <v>24</v>
      </c>
      <c r="E9" s="197"/>
      <c r="H9" s="197"/>
      <c r="J9" s="68"/>
      <c r="K9" s="197"/>
      <c r="M9" s="68"/>
      <c r="N9" s="197"/>
      <c r="P9" s="68"/>
      <c r="Q9" s="197"/>
      <c r="S9" s="68"/>
      <c r="T9" s="197"/>
      <c r="V9" s="68"/>
      <c r="W9" s="197"/>
      <c r="Y9" s="68"/>
      <c r="Z9" s="188"/>
      <c r="AB9" s="68"/>
      <c r="AC9" s="188"/>
      <c r="AE9" s="68"/>
      <c r="AF9" s="14"/>
      <c r="AH9" s="68"/>
      <c r="AI9" s="14"/>
      <c r="AK9" s="68"/>
      <c r="AL9" s="14"/>
      <c r="AN9" s="68"/>
      <c r="AO9" s="14"/>
      <c r="AQ9" s="68"/>
      <c r="AR9" s="14"/>
      <c r="AT9" s="13"/>
      <c r="AU9" s="14"/>
      <c r="AV9" s="36"/>
      <c r="AW9" s="13"/>
      <c r="AX9" s="14"/>
    </row>
    <row r="10" spans="1:50" x14ac:dyDescent="0.2">
      <c r="A10" t="s">
        <v>26</v>
      </c>
      <c r="D10" s="224">
        <f>+'kolommenbalans 2024'!D46</f>
        <v>499.48</v>
      </c>
      <c r="E10" s="196"/>
      <c r="G10" s="224">
        <f>+'kolommenbalans 2023'!D45</f>
        <v>168.52999999999994</v>
      </c>
      <c r="H10" s="196"/>
      <c r="J10" s="193">
        <v>-204.36999999999992</v>
      </c>
      <c r="K10" s="196"/>
      <c r="M10" s="193">
        <v>-305.83999999999992</v>
      </c>
      <c r="N10" s="196"/>
      <c r="P10" s="4">
        <v>-473.83999999999992</v>
      </c>
      <c r="Q10" s="196"/>
      <c r="S10" s="4">
        <v>-164.07999999999993</v>
      </c>
      <c r="T10" s="198"/>
      <c r="V10" s="4">
        <f>+'kolommenbalans 2018'!D46</f>
        <v>199.92000000000002</v>
      </c>
      <c r="W10" s="198"/>
      <c r="Y10" s="4">
        <v>1894.85</v>
      </c>
      <c r="Z10" s="189"/>
      <c r="AB10" s="4">
        <f>+'balans 2016'!D10</f>
        <v>167.54</v>
      </c>
      <c r="AC10" s="189"/>
      <c r="AE10" s="4">
        <f>+'balans 2015'!D10</f>
        <v>163.28</v>
      </c>
      <c r="AF10" s="15"/>
      <c r="AH10" s="4">
        <f>+'kolommenbalans 2014'!E29</f>
        <v>112.35</v>
      </c>
      <c r="AI10" s="15"/>
      <c r="AK10" s="4">
        <v>99.669999999999987</v>
      </c>
      <c r="AL10" s="15"/>
      <c r="AN10" s="4">
        <v>62.07</v>
      </c>
      <c r="AO10" s="15"/>
      <c r="AQ10" s="4">
        <v>69.2</v>
      </c>
      <c r="AR10" s="15"/>
      <c r="AT10" s="5">
        <v>0</v>
      </c>
      <c r="AU10" s="15"/>
      <c r="AV10" s="26"/>
      <c r="AW10" s="5">
        <v>0</v>
      </c>
      <c r="AX10" s="15"/>
    </row>
    <row r="11" spans="1:50" ht="13.5" thickBot="1" x14ac:dyDescent="0.25">
      <c r="A11" s="70" t="s">
        <v>427</v>
      </c>
      <c r="D11" s="225">
        <f>+'kolommenbalans 2024'!B46+'kolommenbalans 2024'!C46</f>
        <v>10454.239999999991</v>
      </c>
      <c r="E11" s="196"/>
      <c r="G11" s="225">
        <f>+'kolommenbalans 2023'!B38+'kolommenbalans 2023'!C38</f>
        <v>7483.1899999999905</v>
      </c>
      <c r="H11" s="196"/>
      <c r="J11" s="9">
        <v>10142.719999999992</v>
      </c>
      <c r="K11" s="196"/>
      <c r="M11" s="9">
        <v>10164.009999999993</v>
      </c>
      <c r="N11" s="196"/>
      <c r="P11" s="9">
        <v>7132.0099999999929</v>
      </c>
      <c r="Q11" s="196"/>
      <c r="S11" s="164">
        <v>18260.939999999991</v>
      </c>
      <c r="T11" s="196"/>
      <c r="V11" s="9">
        <f>+'kolommenbalans 2018'!B46+'kolommenbalans 2018'!C46</f>
        <v>22356.939999999991</v>
      </c>
      <c r="W11" s="196"/>
      <c r="Y11" s="9">
        <v>21340.339999999997</v>
      </c>
      <c r="Z11" s="173"/>
      <c r="AB11" s="9">
        <f>+'balans 2016'!D11</f>
        <v>19843.679999999993</v>
      </c>
      <c r="AC11" s="173"/>
      <c r="AE11" s="4">
        <f>+'balans 2015'!D11</f>
        <v>21437.119999999995</v>
      </c>
      <c r="AF11" s="8"/>
      <c r="AH11" s="9">
        <f>+'kolommenbalans 2014'!C29+'kolommenbalans 2014'!D29</f>
        <v>18681.909999999996</v>
      </c>
      <c r="AI11" s="8"/>
      <c r="AK11" s="9">
        <v>18624.18</v>
      </c>
      <c r="AL11" s="8"/>
      <c r="AN11" s="9">
        <v>11168.810000000001</v>
      </c>
      <c r="AO11" s="8"/>
      <c r="AQ11" s="9">
        <v>10533.65</v>
      </c>
      <c r="AR11" s="8"/>
      <c r="AT11" s="6">
        <v>6086.88</v>
      </c>
      <c r="AU11" s="8"/>
      <c r="AV11" s="7"/>
      <c r="AW11" s="6">
        <v>635.5</v>
      </c>
      <c r="AX11" s="8"/>
    </row>
    <row r="12" spans="1:50" ht="13.5" thickBot="1" x14ac:dyDescent="0.25">
      <c r="E12" s="194"/>
      <c r="H12" s="194"/>
      <c r="K12" s="194">
        <v>9938.3499999999913</v>
      </c>
      <c r="N12" s="194">
        <v>9858.1699999999928</v>
      </c>
      <c r="Q12" s="194">
        <v>6658.1699999999928</v>
      </c>
      <c r="T12" s="194">
        <v>18096.859999999993</v>
      </c>
      <c r="W12" s="194">
        <f>+V11+V10</f>
        <v>22556.85999999999</v>
      </c>
      <c r="Z12" s="194">
        <v>23235.189999999995</v>
      </c>
      <c r="AC12" s="190">
        <f>+AB11+AB10</f>
        <v>20011.219999999994</v>
      </c>
      <c r="AF12" s="16">
        <f>+AE11+AE10</f>
        <v>21600.399999999994</v>
      </c>
      <c r="AI12" s="16">
        <f>+AH11+AH10</f>
        <v>18794.259999999995</v>
      </c>
      <c r="AL12" s="16">
        <v>18723.849999999999</v>
      </c>
      <c r="AO12" s="16">
        <v>11230.880000000001</v>
      </c>
      <c r="AR12" s="16">
        <v>10602.85</v>
      </c>
      <c r="AT12" s="5"/>
      <c r="AU12" s="16">
        <v>6086.88</v>
      </c>
      <c r="AV12" s="7"/>
      <c r="AW12" s="5"/>
      <c r="AX12" s="16">
        <v>635.5</v>
      </c>
    </row>
    <row r="13" spans="1:50" s="20" customFormat="1" ht="19.5" customHeight="1" x14ac:dyDescent="0.2">
      <c r="A13" s="1"/>
      <c r="C13" s="107" t="s">
        <v>739</v>
      </c>
      <c r="D13" s="107"/>
      <c r="E13" s="203">
        <f>+D11+D10</f>
        <v>10953.71999999999</v>
      </c>
      <c r="F13" s="107"/>
      <c r="G13" s="107"/>
      <c r="H13" s="203">
        <f>+G11+G10</f>
        <v>7651.7199999999903</v>
      </c>
      <c r="I13" s="107"/>
      <c r="J13" s="165"/>
      <c r="K13" s="203">
        <v>9938.3499999999913</v>
      </c>
      <c r="L13" s="107"/>
      <c r="M13" s="165"/>
      <c r="N13" s="203">
        <v>9858.1699999999928</v>
      </c>
      <c r="O13" s="107"/>
      <c r="P13" s="165"/>
      <c r="Q13" s="203">
        <v>6658.1699999999928</v>
      </c>
      <c r="R13" s="107"/>
      <c r="S13" s="165"/>
      <c r="T13" s="199">
        <v>18096.859999999993</v>
      </c>
      <c r="U13" s="107"/>
      <c r="V13" s="165"/>
      <c r="W13" s="196">
        <f>+W12+W7</f>
        <v>22556.85999999999</v>
      </c>
      <c r="X13" s="107"/>
      <c r="Y13" s="165"/>
      <c r="Z13" s="191">
        <v>23235.19</v>
      </c>
      <c r="AA13" s="107"/>
      <c r="AB13" s="165"/>
      <c r="AC13" s="191">
        <f>+AC12+AC7</f>
        <v>20011.219999999994</v>
      </c>
      <c r="AD13" s="107"/>
      <c r="AE13" s="165"/>
      <c r="AF13" s="18">
        <f>+AF12+AF7</f>
        <v>21600.399999999994</v>
      </c>
      <c r="AG13" s="107"/>
      <c r="AH13" s="165"/>
      <c r="AI13" s="18">
        <f>+AI12+AI7</f>
        <v>18794.259999999995</v>
      </c>
      <c r="AJ13" s="107"/>
      <c r="AK13" s="165"/>
      <c r="AL13" s="18">
        <v>18723.849999999999</v>
      </c>
      <c r="AM13" s="107"/>
      <c r="AN13" s="165"/>
      <c r="AO13" s="18">
        <v>11230.880000000001</v>
      </c>
      <c r="AP13" s="107"/>
      <c r="AQ13" s="165"/>
      <c r="AR13" s="18">
        <v>10602.85</v>
      </c>
      <c r="AS13" s="107"/>
      <c r="AT13" s="37"/>
      <c r="AU13" s="18">
        <v>6086.88</v>
      </c>
      <c r="AV13" s="37"/>
      <c r="AW13" s="37"/>
      <c r="AX13" s="18">
        <v>635.5</v>
      </c>
    </row>
    <row r="14" spans="1:50" x14ac:dyDescent="0.2">
      <c r="E14" s="196"/>
      <c r="H14" s="196"/>
      <c r="K14" s="196"/>
      <c r="N14" s="196"/>
      <c r="Q14" s="196"/>
      <c r="T14" s="196"/>
      <c r="W14" s="196"/>
      <c r="Z14" s="173"/>
      <c r="AC14" s="173"/>
      <c r="AF14" s="8"/>
      <c r="AI14" s="8"/>
      <c r="AL14" s="8"/>
      <c r="AO14" s="8"/>
      <c r="AR14" s="8"/>
      <c r="AT14" s="5"/>
      <c r="AU14" s="8"/>
      <c r="AV14" s="7"/>
      <c r="AW14" s="5"/>
      <c r="AX14" s="8"/>
    </row>
    <row r="15" spans="1:50" ht="15.75" x14ac:dyDescent="0.25">
      <c r="A15" s="2" t="s">
        <v>22</v>
      </c>
      <c r="E15" s="196"/>
      <c r="H15" s="196"/>
      <c r="K15" s="196"/>
      <c r="N15" s="196"/>
      <c r="Q15" s="196"/>
      <c r="T15" s="196"/>
      <c r="W15" s="196"/>
      <c r="Z15" s="173"/>
      <c r="AC15" s="173"/>
      <c r="AF15" s="8"/>
      <c r="AI15" s="8"/>
      <c r="AL15" s="8"/>
      <c r="AO15" s="8"/>
      <c r="AR15" s="8"/>
      <c r="AT15" s="5"/>
      <c r="AU15" s="8"/>
      <c r="AV15" s="7"/>
      <c r="AW15" s="5"/>
      <c r="AX15" s="8"/>
    </row>
    <row r="16" spans="1:50" ht="19.5" customHeight="1" x14ac:dyDescent="0.2">
      <c r="A16" s="11" t="s">
        <v>29</v>
      </c>
      <c r="E16" s="196"/>
      <c r="H16" s="196"/>
      <c r="K16" s="196"/>
      <c r="N16" s="196"/>
      <c r="Q16" s="196"/>
      <c r="T16" s="196"/>
      <c r="W16" s="196"/>
      <c r="Z16" s="173"/>
      <c r="AC16" s="173"/>
      <c r="AF16" s="8"/>
      <c r="AI16" s="8"/>
      <c r="AL16" s="8"/>
      <c r="AO16" s="8"/>
      <c r="AR16" s="8"/>
      <c r="AT16" s="5"/>
      <c r="AU16" s="8"/>
      <c r="AV16" s="7"/>
      <c r="AW16" s="5"/>
      <c r="AX16" s="8"/>
    </row>
    <row r="17" spans="1:53" x14ac:dyDescent="0.2">
      <c r="A17" t="s">
        <v>28</v>
      </c>
      <c r="D17" s="226">
        <f>+'kolommenbalans 2024'!E46</f>
        <v>-8553.369999999999</v>
      </c>
      <c r="E17" s="196"/>
      <c r="G17" s="226">
        <f>+J17+'winst en verlies 2023'!D33+1</f>
        <v>4052.37</v>
      </c>
      <c r="H17" s="196"/>
      <c r="J17" s="219">
        <v>638</v>
      </c>
      <c r="K17" s="196"/>
      <c r="M17" s="193">
        <v>4698.17</v>
      </c>
      <c r="N17" s="196"/>
      <c r="P17" s="4">
        <v>-2801.8299999999981</v>
      </c>
      <c r="Q17" s="196"/>
      <c r="S17" s="5">
        <v>15676.860000000002</v>
      </c>
      <c r="T17" s="196"/>
      <c r="V17" s="5">
        <f>-'kolommenbalans 2018'!G46</f>
        <v>4676.8600000000024</v>
      </c>
      <c r="W17" s="196"/>
      <c r="Y17" s="5">
        <v>12645.189999999995</v>
      </c>
      <c r="Z17" s="173"/>
      <c r="AB17" s="5">
        <f>+'balans 2016'!D17</f>
        <v>4230.5700000000015</v>
      </c>
      <c r="AC17" s="173"/>
      <c r="AE17" s="5">
        <f>-'balans 2015'!D17</f>
        <v>14848.090000000002</v>
      </c>
      <c r="AF17" s="8"/>
      <c r="AH17" s="5">
        <f>-'kolommenbalans 2014'!F29</f>
        <v>12794.26</v>
      </c>
      <c r="AI17" s="8"/>
      <c r="AK17" s="5">
        <v>11223.85</v>
      </c>
      <c r="AL17" s="8"/>
      <c r="AN17" s="5">
        <v>635.5</v>
      </c>
      <c r="AO17" s="8"/>
      <c r="AQ17" s="5">
        <v>635.5</v>
      </c>
      <c r="AR17" s="8"/>
      <c r="AT17" s="5">
        <v>635.5</v>
      </c>
      <c r="AU17" s="8"/>
      <c r="AV17" s="7"/>
      <c r="AW17" s="5">
        <v>635.5</v>
      </c>
      <c r="AX17" s="8"/>
    </row>
    <row r="18" spans="1:53" ht="13.5" thickBot="1" x14ac:dyDescent="0.25">
      <c r="A18" s="70" t="s">
        <v>428</v>
      </c>
      <c r="D18" s="224">
        <f>+'kolommenbalans 2024'!F46</f>
        <v>-2400</v>
      </c>
      <c r="E18" s="196"/>
      <c r="G18" s="224">
        <f>-'kolommenbalans 2023'!F48</f>
        <v>3600</v>
      </c>
      <c r="H18" s="196"/>
      <c r="J18" s="223">
        <v>9300</v>
      </c>
      <c r="K18" s="196"/>
      <c r="M18" s="9">
        <v>5160</v>
      </c>
      <c r="N18" s="196"/>
      <c r="P18" s="9">
        <v>9460</v>
      </c>
      <c r="Q18" s="196"/>
      <c r="S18" s="6">
        <v>2420</v>
      </c>
      <c r="T18" s="196"/>
      <c r="V18" s="5">
        <f>-'kolommenbalans 2018'!H46</f>
        <v>17880</v>
      </c>
      <c r="W18" s="196"/>
      <c r="Y18" s="5">
        <v>10590</v>
      </c>
      <c r="Z18" s="173"/>
      <c r="AB18" s="5">
        <f>+'balans 2016'!D18</f>
        <v>15780.65</v>
      </c>
      <c r="AC18" s="173"/>
      <c r="AE18" s="5">
        <f>-'balans 2015'!D18</f>
        <v>6752.3099999999995</v>
      </c>
      <c r="AF18" s="8"/>
      <c r="AH18" s="5">
        <f>-'kolommenbalans 2014'!G29</f>
        <v>6000</v>
      </c>
      <c r="AI18" s="8"/>
      <c r="AK18" s="5">
        <v>7500</v>
      </c>
      <c r="AL18" s="8"/>
      <c r="AN18" s="5">
        <v>1460</v>
      </c>
      <c r="AO18" s="8"/>
      <c r="AQ18" s="5">
        <v>3130</v>
      </c>
      <c r="AR18" s="8"/>
      <c r="AT18" s="5">
        <v>0</v>
      </c>
      <c r="AU18" s="8"/>
      <c r="AV18" s="7"/>
      <c r="AW18" s="5">
        <v>0</v>
      </c>
      <c r="AX18" s="8"/>
    </row>
    <row r="19" spans="1:53" ht="13.5" hidden="1" thickBot="1" x14ac:dyDescent="0.25">
      <c r="A19" t="s">
        <v>17</v>
      </c>
      <c r="E19" s="196"/>
      <c r="H19" s="196"/>
      <c r="J19" s="9"/>
      <c r="K19" s="196"/>
      <c r="M19" s="9"/>
      <c r="N19" s="196"/>
      <c r="P19" s="9"/>
      <c r="Q19" s="196"/>
      <c r="S19" s="9"/>
      <c r="T19" s="196"/>
      <c r="V19" s="9">
        <v>0</v>
      </c>
      <c r="W19" s="196"/>
      <c r="Y19" s="9">
        <v>0</v>
      </c>
      <c r="Z19" s="173"/>
      <c r="AB19" s="9">
        <v>0</v>
      </c>
      <c r="AC19" s="173"/>
      <c r="AE19" s="9">
        <v>0</v>
      </c>
      <c r="AF19" s="8"/>
      <c r="AH19" s="9">
        <v>0</v>
      </c>
      <c r="AI19" s="8"/>
      <c r="AK19" s="9">
        <v>0</v>
      </c>
      <c r="AL19" s="8"/>
      <c r="AN19" s="9">
        <v>7458.3500000000013</v>
      </c>
      <c r="AO19" s="8"/>
      <c r="AQ19" s="9">
        <v>-41.450000000000728</v>
      </c>
      <c r="AR19" s="8"/>
      <c r="AT19" s="6">
        <v>2458.5500000000002</v>
      </c>
      <c r="AU19" s="8"/>
      <c r="AV19" s="7"/>
      <c r="AW19" s="6">
        <v>0</v>
      </c>
      <c r="AX19" s="8"/>
    </row>
    <row r="20" spans="1:53" s="12" customFormat="1" ht="13.5" customHeight="1" x14ac:dyDescent="0.2">
      <c r="E20" s="204">
        <f>+D18+D17</f>
        <v>-10953.369999999999</v>
      </c>
      <c r="H20" s="204">
        <f>+G18+G17</f>
        <v>7652.37</v>
      </c>
      <c r="J20" s="68"/>
      <c r="K20" s="204">
        <v>9938</v>
      </c>
      <c r="M20" s="68"/>
      <c r="N20" s="204">
        <v>9858.17</v>
      </c>
      <c r="P20" s="68"/>
      <c r="Q20" s="204">
        <v>6658.1700000000019</v>
      </c>
      <c r="S20" s="68"/>
      <c r="T20" s="196">
        <v>18096.86</v>
      </c>
      <c r="V20" s="68"/>
      <c r="W20" s="196">
        <f>+V19+V17+V18</f>
        <v>22556.86</v>
      </c>
      <c r="Y20" s="68"/>
      <c r="Z20" s="192">
        <v>23235.189999999995</v>
      </c>
      <c r="AB20" s="68"/>
      <c r="AC20" s="192">
        <f>+AB19+AB17+AB18</f>
        <v>20011.22</v>
      </c>
      <c r="AE20" s="68"/>
      <c r="AF20" s="49">
        <f>+AE19+AE17+AE18</f>
        <v>21600.400000000001</v>
      </c>
      <c r="AH20" s="68"/>
      <c r="AI20" s="49">
        <f>+AH19+AH17+AH18</f>
        <v>18794.260000000002</v>
      </c>
      <c r="AK20" s="68"/>
      <c r="AL20" s="49">
        <v>18723.849999999999</v>
      </c>
      <c r="AN20" s="68"/>
      <c r="AO20" s="49">
        <v>9553.8500000000022</v>
      </c>
      <c r="AQ20" s="68"/>
      <c r="AR20" s="49">
        <v>3724.0499999999993</v>
      </c>
      <c r="AT20" s="13"/>
      <c r="AU20" s="49">
        <v>3094.05</v>
      </c>
      <c r="AV20" s="50"/>
      <c r="AW20" s="50"/>
      <c r="AX20" s="49">
        <v>635.5</v>
      </c>
    </row>
    <row r="21" spans="1:53" s="12" customFormat="1" ht="13.5" thickBot="1" x14ac:dyDescent="0.25">
      <c r="A21" s="11" t="s">
        <v>30</v>
      </c>
      <c r="E21" s="205">
        <v>0</v>
      </c>
      <c r="H21" s="205">
        <v>0</v>
      </c>
      <c r="J21" s="68"/>
      <c r="K21" s="205">
        <v>0</v>
      </c>
      <c r="M21" s="68"/>
      <c r="N21" s="205">
        <v>0</v>
      </c>
      <c r="P21" s="68"/>
      <c r="Q21" s="205">
        <v>0</v>
      </c>
      <c r="T21" s="194">
        <v>0</v>
      </c>
      <c r="W21" s="194">
        <v>0</v>
      </c>
      <c r="Z21" s="190">
        <v>0</v>
      </c>
      <c r="AC21" s="190">
        <v>0</v>
      </c>
      <c r="AF21" s="16">
        <v>0</v>
      </c>
      <c r="AI21" s="16">
        <v>0</v>
      </c>
      <c r="AL21" s="16">
        <v>0</v>
      </c>
      <c r="AO21" s="16">
        <v>1677.0299999999997</v>
      </c>
      <c r="AR21" s="16">
        <v>6879</v>
      </c>
      <c r="AT21" s="13"/>
      <c r="AU21" s="51">
        <v>2993.0299999999997</v>
      </c>
      <c r="AV21" s="36"/>
      <c r="AW21" s="13"/>
      <c r="AX21" s="17">
        <v>0</v>
      </c>
    </row>
    <row r="22" spans="1:53" s="20" customFormat="1" ht="19.5" customHeight="1" x14ac:dyDescent="0.2">
      <c r="C22" s="107" t="s">
        <v>740</v>
      </c>
      <c r="D22" s="107"/>
      <c r="E22" s="203">
        <f>+D18+D17</f>
        <v>-10953.369999999999</v>
      </c>
      <c r="F22" s="107"/>
      <c r="G22" s="107"/>
      <c r="H22" s="203">
        <f>+G18+G17</f>
        <v>7652.37</v>
      </c>
      <c r="I22" s="107"/>
      <c r="J22" s="165"/>
      <c r="K22" s="203">
        <v>9938.3499999999913</v>
      </c>
      <c r="L22" s="107"/>
      <c r="M22" s="165"/>
      <c r="N22" s="203">
        <v>9858.17</v>
      </c>
      <c r="O22" s="107"/>
      <c r="P22" s="165"/>
      <c r="Q22" s="203">
        <v>6658.1699999999928</v>
      </c>
      <c r="R22" s="107"/>
      <c r="S22" s="165"/>
      <c r="T22" s="199">
        <v>18096.86</v>
      </c>
      <c r="U22" s="107"/>
      <c r="V22" s="165"/>
      <c r="W22" s="199">
        <f>+W20</f>
        <v>22556.86</v>
      </c>
      <c r="X22" s="107"/>
      <c r="Y22" s="165"/>
      <c r="Z22" s="191">
        <v>23235.189999999995</v>
      </c>
      <c r="AA22" s="107"/>
      <c r="AB22" s="165"/>
      <c r="AC22" s="191">
        <f>+AC20</f>
        <v>20011.22</v>
      </c>
      <c r="AD22" s="107"/>
      <c r="AE22" s="165"/>
      <c r="AF22" s="18">
        <f>+AF20</f>
        <v>21600.400000000001</v>
      </c>
      <c r="AG22" s="107"/>
      <c r="AH22" s="165"/>
      <c r="AI22" s="18">
        <f>+AI20+AI21</f>
        <v>18794.260000000002</v>
      </c>
      <c r="AJ22" s="107"/>
      <c r="AK22" s="165"/>
      <c r="AL22" s="18">
        <v>18723.849999999999</v>
      </c>
      <c r="AM22" s="107"/>
      <c r="AN22" s="165"/>
      <c r="AO22" s="18">
        <v>11230.880000000001</v>
      </c>
      <c r="AP22" s="107"/>
      <c r="AQ22" s="165"/>
      <c r="AR22" s="18">
        <v>10603.05</v>
      </c>
      <c r="AS22" s="107"/>
      <c r="AT22" s="166"/>
      <c r="AU22" s="18">
        <v>6087.08</v>
      </c>
      <c r="AV22" s="37"/>
      <c r="AW22" s="166"/>
      <c r="AX22" s="18">
        <v>635.5</v>
      </c>
    </row>
    <row r="23" spans="1:53" ht="19.5" customHeight="1" x14ac:dyDescent="0.2">
      <c r="E23" s="196"/>
      <c r="H23" s="196"/>
      <c r="K23" s="196"/>
      <c r="N23" s="196"/>
      <c r="Q23" s="196"/>
      <c r="T23" s="199"/>
      <c r="W23" s="199"/>
      <c r="Z23" s="191"/>
      <c r="AC23" s="191"/>
      <c r="AF23" s="18"/>
      <c r="AI23" s="18"/>
      <c r="AL23" s="18"/>
      <c r="AO23" s="18"/>
      <c r="AR23" s="18"/>
      <c r="AT23" s="5"/>
      <c r="AU23" s="18"/>
      <c r="AV23" s="37"/>
      <c r="AW23" s="5"/>
      <c r="AX23" s="18"/>
    </row>
    <row r="24" spans="1:53" ht="8.25" customHeight="1" x14ac:dyDescent="0.2">
      <c r="E24" s="196"/>
      <c r="H24" s="196"/>
      <c r="K24" s="196"/>
      <c r="N24" s="196"/>
      <c r="Q24" s="196"/>
      <c r="T24" s="199"/>
      <c r="W24" s="199"/>
      <c r="Z24" s="191"/>
      <c r="AC24" s="191"/>
      <c r="AF24" s="18"/>
      <c r="AI24" s="18"/>
      <c r="AL24" s="18"/>
      <c r="AO24" s="18"/>
      <c r="AR24" s="18"/>
      <c r="AT24" s="5"/>
      <c r="AU24" s="18"/>
      <c r="AV24" s="37"/>
      <c r="AW24" s="5"/>
      <c r="AX24" s="18"/>
    </row>
    <row r="25" spans="1:53" x14ac:dyDescent="0.2">
      <c r="AT25" s="5"/>
      <c r="AU25" s="7"/>
      <c r="AV25" s="7"/>
      <c r="AW25" s="5"/>
      <c r="AX25" s="7"/>
    </row>
    <row r="26" spans="1:53" x14ac:dyDescent="0.2">
      <c r="T26" s="200"/>
      <c r="W26" s="200"/>
      <c r="Z26" s="52"/>
      <c r="AC26" s="52"/>
      <c r="AF26" s="52"/>
      <c r="AI26" s="52"/>
      <c r="AL26" s="52"/>
      <c r="AO26" s="52"/>
      <c r="AR26" s="52"/>
    </row>
    <row r="27" spans="1:53" x14ac:dyDescent="0.2">
      <c r="A27" t="s">
        <v>31</v>
      </c>
      <c r="C27" s="147" t="s">
        <v>773</v>
      </c>
      <c r="D27" s="147"/>
      <c r="E27" s="147"/>
      <c r="F27" s="147"/>
      <c r="G27" s="147"/>
      <c r="H27" s="147"/>
      <c r="I27" s="147"/>
      <c r="L27" s="147"/>
      <c r="AU27" s="22"/>
      <c r="AV27" s="22"/>
      <c r="AX27" s="22"/>
    </row>
    <row r="28" spans="1:53" x14ac:dyDescent="0.2">
      <c r="A28" s="70" t="s">
        <v>470</v>
      </c>
      <c r="T28" s="200"/>
      <c r="BA28" s="12"/>
    </row>
    <row r="29" spans="1:53" x14ac:dyDescent="0.2">
      <c r="A29" t="s">
        <v>471</v>
      </c>
      <c r="E29" s="52"/>
      <c r="H29" s="52"/>
    </row>
    <row r="30" spans="1:53" x14ac:dyDescent="0.2">
      <c r="E30" s="224"/>
      <c r="H30" s="224"/>
    </row>
    <row r="31" spans="1:53" x14ac:dyDescent="0.2">
      <c r="E31" s="224"/>
      <c r="H31" s="224"/>
    </row>
  </sheetData>
  <mergeCells count="32">
    <mergeCell ref="AT4:AU4"/>
    <mergeCell ref="AW4:AX4"/>
    <mergeCell ref="AB4:AC4"/>
    <mergeCell ref="AE4:AF4"/>
    <mergeCell ref="AH4:AI4"/>
    <mergeCell ref="AK4:AL4"/>
    <mergeCell ref="AN4:AO4"/>
    <mergeCell ref="AQ4:AR4"/>
    <mergeCell ref="AQ3:AR3"/>
    <mergeCell ref="AT3:AU3"/>
    <mergeCell ref="AW3:AX3"/>
    <mergeCell ref="G4:H4"/>
    <mergeCell ref="J4:K4"/>
    <mergeCell ref="M4:N4"/>
    <mergeCell ref="P4:Q4"/>
    <mergeCell ref="S4:T4"/>
    <mergeCell ref="V4:W4"/>
    <mergeCell ref="Y4:Z4"/>
    <mergeCell ref="Y3:Z3"/>
    <mergeCell ref="AB3:AC3"/>
    <mergeCell ref="AE3:AF3"/>
    <mergeCell ref="AH3:AI3"/>
    <mergeCell ref="AK3:AL3"/>
    <mergeCell ref="AN3:AO3"/>
    <mergeCell ref="V3:W3"/>
    <mergeCell ref="D3:E3"/>
    <mergeCell ref="D4:E4"/>
    <mergeCell ref="G3:H3"/>
    <mergeCell ref="J3:K3"/>
    <mergeCell ref="M3:N3"/>
    <mergeCell ref="P3:Q3"/>
    <mergeCell ref="S3:T3"/>
  </mergeCells>
  <pageMargins left="0.74803149606299213" right="0.51181102362204722" top="0.98425196850393704" bottom="0.82677165354330717" header="0.51181102362204722" footer="0.51181102362204722"/>
  <pageSetup paperSize="9" scale="82" orientation="landscape" r:id="rId1"/>
  <headerFooter alignWithMargins="0">
    <oddFooter>&amp;L&amp;F, &amp;A&amp;R&amp;D</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7"/>
  <sheetViews>
    <sheetView zoomScaleNormal="100" workbookViewId="0">
      <selection activeCell="B35" sqref="B35"/>
    </sheetView>
  </sheetViews>
  <sheetFormatPr defaultColWidth="8.85546875" defaultRowHeight="12.75" x14ac:dyDescent="0.2"/>
  <cols>
    <col min="1" max="1" width="9.28515625" customWidth="1"/>
    <col min="2" max="2" width="58.42578125" customWidth="1"/>
    <col min="3" max="3" width="14" style="44" customWidth="1"/>
  </cols>
  <sheetData>
    <row r="1" spans="1:3" s="104" customFormat="1" ht="15.75" x14ac:dyDescent="0.25">
      <c r="A1" s="104" t="s">
        <v>464</v>
      </c>
      <c r="C1" s="105"/>
    </row>
    <row r="3" spans="1:3" x14ac:dyDescent="0.2">
      <c r="A3" s="20" t="s">
        <v>446</v>
      </c>
      <c r="C3" s="33" t="s">
        <v>73</v>
      </c>
    </row>
    <row r="4" spans="1:3" x14ac:dyDescent="0.2">
      <c r="A4" s="70" t="s">
        <v>441</v>
      </c>
      <c r="C4" s="44">
        <f>+'kolommenbalans 2017'!O7</f>
        <v>27.64</v>
      </c>
    </row>
    <row r="5" spans="1:3" x14ac:dyDescent="0.2">
      <c r="A5" t="s">
        <v>77</v>
      </c>
    </row>
    <row r="6" spans="1:3" x14ac:dyDescent="0.2">
      <c r="A6" s="70" t="s">
        <v>442</v>
      </c>
      <c r="C6" s="44">
        <f>+'kolommenbalans 2017'!O11</f>
        <v>29</v>
      </c>
    </row>
    <row r="7" spans="1:3" x14ac:dyDescent="0.2">
      <c r="A7" t="s">
        <v>77</v>
      </c>
    </row>
    <row r="8" spans="1:3" x14ac:dyDescent="0.2">
      <c r="A8" s="70" t="s">
        <v>443</v>
      </c>
      <c r="C8" s="44">
        <f>+'kolommenbalans 2017'!O18</f>
        <v>29.53</v>
      </c>
    </row>
    <row r="9" spans="1:3" x14ac:dyDescent="0.2">
      <c r="A9" t="s">
        <v>77</v>
      </c>
    </row>
    <row r="10" spans="1:3" x14ac:dyDescent="0.2">
      <c r="A10" s="70" t="s">
        <v>444</v>
      </c>
      <c r="C10" s="44">
        <f>+'kolommenbalans 2017'!O21-'overloop 2017'!C12</f>
        <v>27.490000000000002</v>
      </c>
    </row>
    <row r="11" spans="1:3" x14ac:dyDescent="0.2">
      <c r="A11" t="s">
        <v>77</v>
      </c>
    </row>
    <row r="12" spans="1:3" x14ac:dyDescent="0.2">
      <c r="A12" s="70" t="s">
        <v>269</v>
      </c>
      <c r="C12" s="44">
        <v>59.9</v>
      </c>
    </row>
    <row r="13" spans="1:3" x14ac:dyDescent="0.2">
      <c r="A13" t="s">
        <v>77</v>
      </c>
    </row>
    <row r="14" spans="1:3" x14ac:dyDescent="0.2">
      <c r="A14" s="20" t="s">
        <v>445</v>
      </c>
      <c r="C14" s="39">
        <f>SUM(C4:C13)</f>
        <v>173.56</v>
      </c>
    </row>
    <row r="15" spans="1:3" x14ac:dyDescent="0.2">
      <c r="A15" s="20" t="s">
        <v>386</v>
      </c>
    </row>
    <row r="17" spans="1:6" s="20" customFormat="1" x14ac:dyDescent="0.2">
      <c r="A17" s="20" t="s">
        <v>461</v>
      </c>
      <c r="C17" s="39">
        <v>1000</v>
      </c>
    </row>
    <row r="19" spans="1:6" x14ac:dyDescent="0.2">
      <c r="A19" s="20" t="s">
        <v>468</v>
      </c>
      <c r="C19" s="39">
        <f>13000-11747.69+10600-11621.66</f>
        <v>230.64999999999964</v>
      </c>
    </row>
    <row r="20" spans="1:6" x14ac:dyDescent="0.2">
      <c r="A20" s="20"/>
      <c r="B20" s="70" t="s">
        <v>465</v>
      </c>
      <c r="C20" s="72">
        <v>10800</v>
      </c>
    </row>
    <row r="21" spans="1:6" x14ac:dyDescent="0.2">
      <c r="A21" s="20"/>
      <c r="B21" s="70" t="s">
        <v>466</v>
      </c>
      <c r="C21" s="72">
        <v>-11751.94</v>
      </c>
    </row>
    <row r="22" spans="1:6" s="20" customFormat="1" x14ac:dyDescent="0.2">
      <c r="A22" s="20" t="s">
        <v>480</v>
      </c>
      <c r="C22" s="39">
        <f>SUM(C19:C21)</f>
        <v>-721.29000000000087</v>
      </c>
      <c r="D22" s="108"/>
    </row>
    <row r="23" spans="1:6" s="20" customFormat="1" x14ac:dyDescent="0.2">
      <c r="C23" s="39"/>
    </row>
    <row r="24" spans="1:6" x14ac:dyDescent="0.2">
      <c r="A24" s="20" t="s">
        <v>404</v>
      </c>
    </row>
    <row r="25" spans="1:6" x14ac:dyDescent="0.2">
      <c r="A25" s="70" t="s">
        <v>462</v>
      </c>
      <c r="C25" s="72">
        <f>5*12*80</f>
        <v>4800</v>
      </c>
    </row>
    <row r="26" spans="1:6" x14ac:dyDescent="0.2">
      <c r="A26" s="20"/>
      <c r="B26" s="71" t="s">
        <v>455</v>
      </c>
      <c r="C26" s="72">
        <f>-12*80</f>
        <v>-960</v>
      </c>
      <c r="E26" s="70"/>
      <c r="F26" s="47"/>
    </row>
    <row r="27" spans="1:6" x14ac:dyDescent="0.2">
      <c r="A27" s="20"/>
      <c r="B27" s="29" t="s">
        <v>456</v>
      </c>
      <c r="C27" s="39">
        <f>+C26+C25</f>
        <v>3840</v>
      </c>
    </row>
    <row r="28" spans="1:6" x14ac:dyDescent="0.2">
      <c r="A28" s="70" t="s">
        <v>384</v>
      </c>
      <c r="C28" s="39">
        <v>4250</v>
      </c>
    </row>
    <row r="29" spans="1:6" x14ac:dyDescent="0.2">
      <c r="A29" s="20" t="s">
        <v>460</v>
      </c>
    </row>
    <row r="30" spans="1:6" x14ac:dyDescent="0.2">
      <c r="A30" t="s">
        <v>481</v>
      </c>
      <c r="C30" s="106">
        <v>2500</v>
      </c>
    </row>
    <row r="31" spans="1:6" x14ac:dyDescent="0.2">
      <c r="B31" s="107" t="s">
        <v>463</v>
      </c>
      <c r="C31" s="39">
        <f>SUM(C27:C30)</f>
        <v>10590</v>
      </c>
    </row>
    <row r="32" spans="1:6" x14ac:dyDescent="0.2">
      <c r="A32" s="70"/>
    </row>
    <row r="33" spans="1:3" x14ac:dyDescent="0.2">
      <c r="B33" s="70"/>
    </row>
    <row r="34" spans="1:3" x14ac:dyDescent="0.2">
      <c r="B34" s="70"/>
    </row>
    <row r="35" spans="1:3" x14ac:dyDescent="0.2">
      <c r="B35" s="70"/>
      <c r="C35" s="39"/>
    </row>
    <row r="36" spans="1:3" x14ac:dyDescent="0.2">
      <c r="A36" s="70"/>
    </row>
    <row r="37" spans="1:3" x14ac:dyDescent="0.2">
      <c r="A37" s="70"/>
    </row>
  </sheetData>
  <phoneticPr fontId="6" type="noConversion"/>
  <pageMargins left="0.74803149606299213" right="0.74803149606299213" top="0.98425196850393704" bottom="0.98425196850393704" header="0.51181102362204722" footer="0.51181102362204722"/>
  <pageSetup orientation="portrait" r:id="rId1"/>
  <headerFooter alignWithMargins="0">
    <oddFooter>&amp;L&amp;F, &amp;A&amp;R&amp;D</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30"/>
  <sheetViews>
    <sheetView zoomScaleNormal="100" workbookViewId="0">
      <selection activeCell="D18" sqref="D18"/>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19" max="19" width="9.140625" style="4" customWidth="1"/>
    <col min="21" max="21" width="2.42578125" customWidth="1"/>
    <col min="24" max="24" width="2.42578125" customWidth="1"/>
  </cols>
  <sheetData>
    <row r="1" spans="1:26" ht="20.25" x14ac:dyDescent="0.3">
      <c r="A1" s="10" t="s">
        <v>69</v>
      </c>
    </row>
    <row r="3" spans="1:26" x14ac:dyDescent="0.2">
      <c r="D3" s="264">
        <v>42735</v>
      </c>
      <c r="E3" s="264"/>
      <c r="G3" s="264">
        <v>42369</v>
      </c>
      <c r="H3" s="264"/>
      <c r="J3" s="264">
        <v>42004</v>
      </c>
      <c r="K3" s="264"/>
      <c r="M3" s="264">
        <v>41639</v>
      </c>
      <c r="N3" s="264"/>
      <c r="P3" s="264">
        <v>41274</v>
      </c>
      <c r="Q3" s="264"/>
      <c r="S3" s="264">
        <v>40908</v>
      </c>
      <c r="T3" s="264"/>
      <c r="V3" s="264">
        <v>40543</v>
      </c>
      <c r="W3" s="264"/>
      <c r="X3" s="34"/>
      <c r="Y3" s="264">
        <v>40178</v>
      </c>
      <c r="Z3" s="264"/>
    </row>
    <row r="4" spans="1:26" x14ac:dyDescent="0.2">
      <c r="D4" s="248" t="s">
        <v>73</v>
      </c>
      <c r="E4" s="248"/>
      <c r="G4" s="248" t="s">
        <v>73</v>
      </c>
      <c r="H4" s="248"/>
      <c r="J4" s="248" t="s">
        <v>73</v>
      </c>
      <c r="K4" s="248"/>
      <c r="M4" s="248" t="s">
        <v>73</v>
      </c>
      <c r="N4" s="248"/>
      <c r="P4" s="248" t="s">
        <v>73</v>
      </c>
      <c r="Q4" s="248"/>
      <c r="S4" s="248" t="s">
        <v>73</v>
      </c>
      <c r="T4" s="248"/>
      <c r="V4" s="248" t="s">
        <v>73</v>
      </c>
      <c r="W4" s="248"/>
      <c r="X4" s="35"/>
      <c r="Y4" s="248" t="s">
        <v>73</v>
      </c>
      <c r="Z4" s="248"/>
    </row>
    <row r="5" spans="1:26" ht="15.75" x14ac:dyDescent="0.25">
      <c r="A5" s="2" t="s">
        <v>21</v>
      </c>
      <c r="E5" s="8"/>
      <c r="H5" s="8"/>
      <c r="K5" s="8"/>
      <c r="N5" s="8"/>
      <c r="Q5" s="8"/>
      <c r="T5" s="8"/>
      <c r="V5" s="5"/>
      <c r="W5" s="8"/>
      <c r="X5" s="7"/>
      <c r="Y5" s="5"/>
      <c r="Z5" s="8"/>
    </row>
    <row r="6" spans="1:26" s="12" customFormat="1" ht="19.5" customHeight="1" x14ac:dyDescent="0.2">
      <c r="A6" s="11" t="s">
        <v>23</v>
      </c>
      <c r="D6" s="68"/>
      <c r="E6" s="14"/>
      <c r="G6" s="68"/>
      <c r="H6" s="14"/>
      <c r="J6" s="68"/>
      <c r="K6" s="14"/>
      <c r="M6" s="68"/>
      <c r="N6" s="14"/>
      <c r="P6" s="68"/>
      <c r="Q6" s="14"/>
      <c r="S6" s="68"/>
      <c r="T6" s="14"/>
      <c r="V6" s="13"/>
      <c r="W6" s="14"/>
      <c r="X6" s="36"/>
      <c r="Y6" s="13"/>
      <c r="Z6" s="14"/>
    </row>
    <row r="7" spans="1:26" x14ac:dyDescent="0.2">
      <c r="A7" t="s">
        <v>25</v>
      </c>
      <c r="E7" s="8">
        <v>0</v>
      </c>
      <c r="H7" s="8">
        <v>0</v>
      </c>
      <c r="K7" s="8">
        <v>0</v>
      </c>
      <c r="N7" s="8">
        <v>0</v>
      </c>
      <c r="Q7" s="8">
        <v>0</v>
      </c>
      <c r="T7" s="8">
        <v>0</v>
      </c>
      <c r="V7" s="5"/>
      <c r="W7" s="8">
        <v>0</v>
      </c>
      <c r="X7" s="7"/>
      <c r="Y7" s="5"/>
      <c r="Z7" s="8">
        <v>0</v>
      </c>
    </row>
    <row r="8" spans="1:26" x14ac:dyDescent="0.2">
      <c r="E8" s="8"/>
      <c r="H8" s="8"/>
      <c r="K8" s="8"/>
      <c r="N8" s="8"/>
      <c r="Q8" s="8"/>
      <c r="T8" s="8"/>
      <c r="V8" s="5"/>
      <c r="W8" s="8"/>
      <c r="X8" s="7"/>
      <c r="Y8" s="5"/>
      <c r="Z8" s="8"/>
    </row>
    <row r="9" spans="1:26" s="12" customFormat="1" ht="19.5" customHeight="1" x14ac:dyDescent="0.2">
      <c r="A9" s="11" t="s">
        <v>24</v>
      </c>
      <c r="D9" s="68"/>
      <c r="E9" s="14"/>
      <c r="G9" s="68"/>
      <c r="H9" s="14"/>
      <c r="J9" s="68"/>
      <c r="K9" s="14"/>
      <c r="M9" s="68"/>
      <c r="N9" s="14"/>
      <c r="P9" s="68"/>
      <c r="Q9" s="14"/>
      <c r="S9" s="68"/>
      <c r="T9" s="14"/>
      <c r="V9" s="13"/>
      <c r="W9" s="14"/>
      <c r="X9" s="36"/>
      <c r="Y9" s="13"/>
      <c r="Z9" s="14"/>
    </row>
    <row r="10" spans="1:26" x14ac:dyDescent="0.2">
      <c r="A10" t="s">
        <v>26</v>
      </c>
      <c r="D10" s="4">
        <f>+'kolommenbalans 2016'!E30</f>
        <v>167.54</v>
      </c>
      <c r="E10" s="15"/>
      <c r="G10" s="4">
        <f>+'balans 2015'!D10</f>
        <v>163.28</v>
      </c>
      <c r="H10" s="15"/>
      <c r="J10" s="4">
        <f>+'kolommenbalans 2014'!E29</f>
        <v>112.35</v>
      </c>
      <c r="K10" s="15"/>
      <c r="M10" s="4">
        <v>99.669999999999987</v>
      </c>
      <c r="N10" s="15"/>
      <c r="P10" s="4">
        <v>62.07</v>
      </c>
      <c r="Q10" s="15"/>
      <c r="S10" s="4">
        <v>69.2</v>
      </c>
      <c r="T10" s="15"/>
      <c r="V10" s="5">
        <v>0</v>
      </c>
      <c r="W10" s="15"/>
      <c r="X10" s="26"/>
      <c r="Y10" s="5">
        <v>0</v>
      </c>
      <c r="Z10" s="15"/>
    </row>
    <row r="11" spans="1:26" ht="13.5" thickBot="1" x14ac:dyDescent="0.25">
      <c r="A11" s="70" t="s">
        <v>427</v>
      </c>
      <c r="D11" s="9">
        <f>+'kolommenbalans 2016'!B30+'kolommenbalans 2016'!C30</f>
        <v>19843.679999999993</v>
      </c>
      <c r="E11" s="8"/>
      <c r="G11" s="4">
        <f>+'balans 2015'!D11</f>
        <v>21437.119999999995</v>
      </c>
      <c r="H11" s="8"/>
      <c r="J11" s="9">
        <f>+'kolommenbalans 2014'!C29+'kolommenbalans 2014'!D29</f>
        <v>18681.909999999996</v>
      </c>
      <c r="K11" s="8"/>
      <c r="M11" s="9">
        <v>18624.18</v>
      </c>
      <c r="N11" s="8"/>
      <c r="P11" s="9">
        <v>11168.810000000001</v>
      </c>
      <c r="Q11" s="8"/>
      <c r="S11" s="9">
        <v>10533.65</v>
      </c>
      <c r="T11" s="8"/>
      <c r="V11" s="6">
        <v>6086.88</v>
      </c>
      <c r="W11" s="8"/>
      <c r="X11" s="7"/>
      <c r="Y11" s="6">
        <v>635.5</v>
      </c>
      <c r="Z11" s="8"/>
    </row>
    <row r="12" spans="1:26" ht="13.5" thickBot="1" x14ac:dyDescent="0.25">
      <c r="E12" s="16">
        <f>+D11+D10</f>
        <v>20011.219999999994</v>
      </c>
      <c r="H12" s="16">
        <f>+G11+G10</f>
        <v>21600.399999999994</v>
      </c>
      <c r="K12" s="16">
        <f>+J11+J10</f>
        <v>18794.259999999995</v>
      </c>
      <c r="N12" s="16">
        <v>18723.849999999999</v>
      </c>
      <c r="Q12" s="16">
        <v>11230.880000000001</v>
      </c>
      <c r="T12" s="16">
        <v>10602.85</v>
      </c>
      <c r="V12" s="5"/>
      <c r="W12" s="16">
        <v>6086.88</v>
      </c>
      <c r="X12" s="7"/>
      <c r="Y12" s="5"/>
      <c r="Z12" s="16">
        <v>635.5</v>
      </c>
    </row>
    <row r="13" spans="1:26" ht="19.5" customHeight="1" x14ac:dyDescent="0.2">
      <c r="A13" s="3"/>
      <c r="C13" s="29" t="s">
        <v>55</v>
      </c>
      <c r="D13" s="30"/>
      <c r="E13" s="18">
        <f>+E12+E7</f>
        <v>20011.219999999994</v>
      </c>
      <c r="F13" s="29"/>
      <c r="G13" s="30"/>
      <c r="H13" s="18">
        <f>+H12+H7</f>
        <v>21600.399999999994</v>
      </c>
      <c r="I13" s="29"/>
      <c r="J13" s="30"/>
      <c r="K13" s="18">
        <f>+K12+K7</f>
        <v>18794.259999999995</v>
      </c>
      <c r="L13" s="29"/>
      <c r="M13" s="30"/>
      <c r="N13" s="18">
        <v>18723.849999999999</v>
      </c>
      <c r="O13" s="29"/>
      <c r="P13" s="30"/>
      <c r="Q13" s="18">
        <v>11230.880000000001</v>
      </c>
      <c r="R13" s="29"/>
      <c r="S13" s="30"/>
      <c r="T13" s="18">
        <v>10602.85</v>
      </c>
      <c r="U13" s="29"/>
      <c r="V13" s="7"/>
      <c r="W13" s="18">
        <v>6086.88</v>
      </c>
      <c r="X13" s="37"/>
      <c r="Y13" s="7"/>
      <c r="Z13" s="18">
        <v>635.5</v>
      </c>
    </row>
    <row r="14" spans="1:26" x14ac:dyDescent="0.2">
      <c r="E14" s="8"/>
      <c r="H14" s="8"/>
      <c r="K14" s="8"/>
      <c r="N14" s="8"/>
      <c r="Q14" s="8"/>
      <c r="T14" s="8"/>
      <c r="V14" s="5"/>
      <c r="W14" s="8"/>
      <c r="X14" s="7"/>
      <c r="Y14" s="5"/>
      <c r="Z14" s="8"/>
    </row>
    <row r="15" spans="1:26" ht="15.75" x14ac:dyDescent="0.25">
      <c r="A15" s="2" t="s">
        <v>22</v>
      </c>
      <c r="E15" s="8"/>
      <c r="H15" s="8"/>
      <c r="K15" s="8"/>
      <c r="N15" s="8"/>
      <c r="Q15" s="8"/>
      <c r="T15" s="8"/>
      <c r="V15" s="5"/>
      <c r="W15" s="8"/>
      <c r="X15" s="7"/>
      <c r="Y15" s="5"/>
      <c r="Z15" s="8"/>
    </row>
    <row r="16" spans="1:26" ht="19.5" customHeight="1" x14ac:dyDescent="0.2">
      <c r="A16" s="11" t="s">
        <v>29</v>
      </c>
      <c r="E16" s="8"/>
      <c r="H16" s="8"/>
      <c r="K16" s="8"/>
      <c r="N16" s="8"/>
      <c r="Q16" s="8"/>
      <c r="T16" s="8"/>
      <c r="V16" s="5"/>
      <c r="W16" s="8"/>
      <c r="X16" s="7"/>
      <c r="Y16" s="5"/>
      <c r="Z16" s="8"/>
    </row>
    <row r="17" spans="1:29" x14ac:dyDescent="0.2">
      <c r="A17" t="s">
        <v>28</v>
      </c>
      <c r="D17" s="5">
        <f>-'kolommenbalans 2016'!F34</f>
        <v>4230.5700000000015</v>
      </c>
      <c r="E17" s="8"/>
      <c r="G17" s="5">
        <f>-'balans 2015'!D17</f>
        <v>14848.090000000002</v>
      </c>
      <c r="H17" s="8"/>
      <c r="J17" s="5">
        <f>-'kolommenbalans 2014'!F29</f>
        <v>12794.26</v>
      </c>
      <c r="K17" s="8"/>
      <c r="M17" s="5">
        <v>11223.85</v>
      </c>
      <c r="N17" s="8"/>
      <c r="P17" s="5">
        <v>635.5</v>
      </c>
      <c r="Q17" s="8"/>
      <c r="S17" s="5">
        <v>635.5</v>
      </c>
      <c r="T17" s="8"/>
      <c r="V17" s="5">
        <v>635.5</v>
      </c>
      <c r="W17" s="8"/>
      <c r="X17" s="7"/>
      <c r="Y17" s="5">
        <v>635.5</v>
      </c>
      <c r="Z17" s="8"/>
    </row>
    <row r="18" spans="1:29" x14ac:dyDescent="0.2">
      <c r="A18" s="70" t="s">
        <v>428</v>
      </c>
      <c r="D18" s="5">
        <f>-'kolommenbalans 2016'!G34-'kolommenbalans 2016'!H34</f>
        <v>15780.65</v>
      </c>
      <c r="E18" s="8"/>
      <c r="G18" s="5">
        <f>-'balans 2015'!D18</f>
        <v>6752.3099999999995</v>
      </c>
      <c r="H18" s="8"/>
      <c r="J18" s="5">
        <f>-'kolommenbalans 2014'!G29</f>
        <v>6000</v>
      </c>
      <c r="K18" s="8"/>
      <c r="M18" s="5">
        <v>7500</v>
      </c>
      <c r="N18" s="8"/>
      <c r="P18" s="5">
        <v>1460</v>
      </c>
      <c r="Q18" s="8"/>
      <c r="S18" s="5">
        <v>3130</v>
      </c>
      <c r="T18" s="8"/>
      <c r="V18" s="5">
        <v>0</v>
      </c>
      <c r="W18" s="8"/>
      <c r="X18" s="7"/>
      <c r="Y18" s="5">
        <v>0</v>
      </c>
      <c r="Z18" s="8"/>
    </row>
    <row r="19" spans="1:29" ht="13.5" thickBot="1" x14ac:dyDescent="0.25">
      <c r="A19" t="s">
        <v>17</v>
      </c>
      <c r="D19" s="9"/>
      <c r="E19" s="8"/>
      <c r="G19" s="9"/>
      <c r="H19" s="8"/>
      <c r="J19" s="9"/>
      <c r="K19" s="8"/>
      <c r="M19" s="9"/>
      <c r="N19" s="8"/>
      <c r="P19" s="9">
        <v>7458.3500000000013</v>
      </c>
      <c r="Q19" s="8"/>
      <c r="S19" s="9">
        <v>-41.450000000000728</v>
      </c>
      <c r="T19" s="8"/>
      <c r="V19" s="6">
        <v>2458.5500000000002</v>
      </c>
      <c r="W19" s="8"/>
      <c r="X19" s="7"/>
      <c r="Y19" s="6">
        <v>0</v>
      </c>
      <c r="Z19" s="8"/>
    </row>
    <row r="20" spans="1:29" s="12" customFormat="1" ht="13.5" customHeight="1" x14ac:dyDescent="0.2">
      <c r="D20" s="68"/>
      <c r="E20" s="49">
        <f>+D19+D17+D18</f>
        <v>20011.22</v>
      </c>
      <c r="G20" s="68"/>
      <c r="H20" s="49">
        <f>+G19+G17+G18</f>
        <v>21600.400000000001</v>
      </c>
      <c r="J20" s="68"/>
      <c r="K20" s="49">
        <f>+J19+J17+J18</f>
        <v>18794.260000000002</v>
      </c>
      <c r="M20" s="68"/>
      <c r="N20" s="49">
        <v>18723.849999999999</v>
      </c>
      <c r="P20" s="68"/>
      <c r="Q20" s="49">
        <v>9553.8500000000022</v>
      </c>
      <c r="S20" s="68"/>
      <c r="T20" s="49">
        <v>3724.0499999999993</v>
      </c>
      <c r="V20" s="13"/>
      <c r="W20" s="49">
        <v>3094.05</v>
      </c>
      <c r="X20" s="50"/>
      <c r="Y20" s="50"/>
      <c r="Z20" s="49">
        <v>635.5</v>
      </c>
    </row>
    <row r="21" spans="1:29" x14ac:dyDescent="0.2">
      <c r="E21" s="8"/>
      <c r="H21" s="8"/>
      <c r="K21" s="8"/>
      <c r="N21" s="8"/>
      <c r="Q21" s="8"/>
      <c r="T21" s="8"/>
      <c r="V21" s="5"/>
      <c r="W21" s="8"/>
      <c r="X21" s="7"/>
      <c r="Y21" s="5"/>
      <c r="Z21" s="8"/>
    </row>
    <row r="22" spans="1:29" s="12" customFormat="1" ht="19.5" customHeight="1" thickBot="1" x14ac:dyDescent="0.25">
      <c r="A22" s="11" t="s">
        <v>30</v>
      </c>
      <c r="E22" s="16">
        <v>0</v>
      </c>
      <c r="H22" s="16">
        <v>0</v>
      </c>
      <c r="K22" s="16">
        <v>0</v>
      </c>
      <c r="N22" s="16">
        <v>0</v>
      </c>
      <c r="Q22" s="16">
        <v>1677.0299999999997</v>
      </c>
      <c r="T22" s="16">
        <v>6879</v>
      </c>
      <c r="V22" s="13"/>
      <c r="W22" s="51">
        <v>2993.0299999999997</v>
      </c>
      <c r="X22" s="36"/>
      <c r="Y22" s="13"/>
      <c r="Z22" s="17">
        <v>0</v>
      </c>
    </row>
    <row r="23" spans="1:29" ht="19.5" customHeight="1" x14ac:dyDescent="0.2">
      <c r="C23" s="29" t="s">
        <v>55</v>
      </c>
      <c r="D23" s="30"/>
      <c r="E23" s="18">
        <f>+E20</f>
        <v>20011.22</v>
      </c>
      <c r="F23" s="29"/>
      <c r="G23" s="30"/>
      <c r="H23" s="18">
        <f>+H20</f>
        <v>21600.400000000001</v>
      </c>
      <c r="I23" s="29"/>
      <c r="J23" s="30"/>
      <c r="K23" s="18">
        <f>+K20+K22</f>
        <v>18794.260000000002</v>
      </c>
      <c r="L23" s="29"/>
      <c r="M23" s="30"/>
      <c r="N23" s="18">
        <v>18723.849999999999</v>
      </c>
      <c r="O23" s="29"/>
      <c r="P23" s="30"/>
      <c r="Q23" s="18">
        <v>11230.880000000001</v>
      </c>
      <c r="R23" s="29"/>
      <c r="S23" s="30"/>
      <c r="T23" s="18">
        <v>10603.05</v>
      </c>
      <c r="U23" s="29"/>
      <c r="V23" s="5"/>
      <c r="W23" s="18">
        <v>6087.08</v>
      </c>
      <c r="X23" s="37"/>
      <c r="Y23" s="5"/>
      <c r="Z23" s="18">
        <v>635.5</v>
      </c>
    </row>
    <row r="24" spans="1:29" ht="19.5" customHeight="1" x14ac:dyDescent="0.2">
      <c r="E24" s="18"/>
      <c r="H24" s="18"/>
      <c r="K24" s="18"/>
      <c r="N24" s="18"/>
      <c r="Q24" s="18"/>
      <c r="T24" s="18"/>
      <c r="V24" s="5"/>
      <c r="W24" s="18"/>
      <c r="X24" s="37"/>
      <c r="Y24" s="5"/>
      <c r="Z24" s="18"/>
    </row>
    <row r="25" spans="1:29" ht="19.5" customHeight="1" x14ac:dyDescent="0.2">
      <c r="E25" s="18"/>
      <c r="H25" s="18"/>
      <c r="K25" s="18"/>
      <c r="N25" s="18"/>
      <c r="Q25" s="18"/>
      <c r="T25" s="18"/>
      <c r="V25" s="5"/>
      <c r="W25" s="18"/>
      <c r="X25" s="37"/>
      <c r="Y25" s="5"/>
      <c r="Z25" s="18"/>
    </row>
    <row r="26" spans="1:29" x14ac:dyDescent="0.2">
      <c r="V26" s="5"/>
      <c r="W26" s="7"/>
      <c r="X26" s="7"/>
      <c r="Y26" s="5"/>
      <c r="Z26" s="7"/>
    </row>
    <row r="27" spans="1:29" x14ac:dyDescent="0.2">
      <c r="E27" s="52"/>
      <c r="H27" s="52"/>
      <c r="K27" s="52"/>
      <c r="N27" s="52"/>
      <c r="Q27" s="52"/>
      <c r="T27" s="52"/>
    </row>
    <row r="28" spans="1:29" x14ac:dyDescent="0.2">
      <c r="A28" t="s">
        <v>31</v>
      </c>
      <c r="C28" s="70" t="s">
        <v>436</v>
      </c>
      <c r="W28" s="22"/>
      <c r="X28" s="22"/>
      <c r="Z28" s="22"/>
    </row>
    <row r="29" spans="1:29" x14ac:dyDescent="0.2">
      <c r="A29" t="s">
        <v>435</v>
      </c>
      <c r="AC29" s="12"/>
    </row>
    <row r="30" spans="1:29" x14ac:dyDescent="0.2">
      <c r="A30" t="s">
        <v>33</v>
      </c>
    </row>
  </sheetData>
  <mergeCells count="16">
    <mergeCell ref="D3:E3"/>
    <mergeCell ref="D4:E4"/>
    <mergeCell ref="Y3:Z3"/>
    <mergeCell ref="G4:H4"/>
    <mergeCell ref="J4:K4"/>
    <mergeCell ref="M4:N4"/>
    <mergeCell ref="P4:Q4"/>
    <mergeCell ref="S4:T4"/>
    <mergeCell ref="V4:W4"/>
    <mergeCell ref="Y4:Z4"/>
    <mergeCell ref="G3:H3"/>
    <mergeCell ref="J3:K3"/>
    <mergeCell ref="M3:N3"/>
    <mergeCell ref="P3:Q3"/>
    <mergeCell ref="S3:T3"/>
    <mergeCell ref="V3:W3"/>
  </mergeCells>
  <pageMargins left="0.74803149606299213" right="0.74803149606299213" top="0.98425196850393704" bottom="0.98425196850393704" header="0.51181102362204722" footer="0.51181102362204722"/>
  <pageSetup scale="84" orientation="landscape"/>
  <headerFooter alignWithMargins="0">
    <oddFooter>&amp;L&amp;F, &amp;A&amp;R&amp;D</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71"/>
  <sheetViews>
    <sheetView topLeftCell="A30" zoomScaleNormal="100" workbookViewId="0">
      <selection activeCell="G58" sqref="G58"/>
    </sheetView>
  </sheetViews>
  <sheetFormatPr defaultColWidth="8.85546875" defaultRowHeight="12.75" x14ac:dyDescent="0.2"/>
  <cols>
    <col min="1" max="1" width="8.85546875" customWidth="1"/>
    <col min="2" max="2" width="6.140625" customWidth="1"/>
    <col min="3" max="3" width="24.140625" customWidth="1"/>
    <col min="4" max="4" width="10.28515625" style="32" customWidth="1"/>
    <col min="5" max="5" width="10.28515625" bestFit="1" customWidth="1"/>
    <col min="6" max="6" width="2.42578125" customWidth="1"/>
    <col min="7" max="7" width="10.28515625" style="32" customWidth="1"/>
    <col min="9" max="9" width="2.42578125" customWidth="1"/>
    <col min="10" max="10" width="9.140625" style="4" customWidth="1"/>
    <col min="12" max="12" width="2.42578125" customWidth="1"/>
    <col min="15" max="15" width="2.42578125" customWidth="1"/>
    <col min="18" max="18" width="2.42578125" customWidth="1"/>
    <col min="19" max="19" width="9.140625" style="5" customWidth="1"/>
    <col min="21" max="21" width="2.42578125" customWidth="1"/>
    <col min="23" max="23" width="10.28515625" customWidth="1"/>
    <col min="24" max="24" width="20.42578125" customWidth="1"/>
  </cols>
  <sheetData>
    <row r="1" spans="1:23" ht="20.25" x14ac:dyDescent="0.3">
      <c r="A1" s="10" t="s">
        <v>74</v>
      </c>
    </row>
    <row r="3" spans="1:23" x14ac:dyDescent="0.2">
      <c r="D3" s="249" t="s">
        <v>369</v>
      </c>
      <c r="E3" s="236"/>
      <c r="F3" s="27"/>
      <c r="G3" s="249" t="s">
        <v>343</v>
      </c>
      <c r="H3" s="236"/>
      <c r="I3" s="27"/>
      <c r="J3" s="249" t="s">
        <v>290</v>
      </c>
      <c r="K3" s="236"/>
      <c r="L3" s="27"/>
      <c r="M3" s="249" t="s">
        <v>244</v>
      </c>
      <c r="N3" s="236"/>
      <c r="O3" s="27"/>
      <c r="P3" s="249" t="s">
        <v>230</v>
      </c>
      <c r="Q3" s="236"/>
      <c r="R3" s="27"/>
      <c r="S3" s="250" t="s">
        <v>368</v>
      </c>
      <c r="T3" s="236"/>
      <c r="V3" s="251" t="s">
        <v>75</v>
      </c>
      <c r="W3" s="236"/>
    </row>
    <row r="4" spans="1:23" x14ac:dyDescent="0.2">
      <c r="D4" s="232" t="s">
        <v>73</v>
      </c>
      <c r="E4" s="231"/>
      <c r="F4" s="28"/>
      <c r="G4" s="232" t="s">
        <v>73</v>
      </c>
      <c r="H4" s="231"/>
      <c r="I4" s="28"/>
      <c r="J4" s="232" t="s">
        <v>73</v>
      </c>
      <c r="K4" s="231"/>
      <c r="L4" s="28"/>
      <c r="M4" s="232" t="s">
        <v>73</v>
      </c>
      <c r="N4" s="231"/>
      <c r="O4" s="28"/>
      <c r="P4" s="232" t="s">
        <v>73</v>
      </c>
      <c r="Q4" s="231"/>
      <c r="R4" s="28"/>
      <c r="S4" s="232" t="s">
        <v>73</v>
      </c>
      <c r="T4" s="231"/>
      <c r="V4" s="232" t="s">
        <v>73</v>
      </c>
      <c r="W4" s="231"/>
    </row>
    <row r="5" spans="1:23" ht="15.75" x14ac:dyDescent="0.25">
      <c r="A5" s="2" t="s">
        <v>0</v>
      </c>
      <c r="D5" s="44"/>
      <c r="E5" s="8"/>
      <c r="F5" s="7"/>
      <c r="G5" s="44"/>
      <c r="H5" s="8"/>
      <c r="I5" s="7"/>
      <c r="J5" s="5"/>
      <c r="K5" s="8"/>
      <c r="L5" s="7"/>
      <c r="M5" s="5"/>
      <c r="N5" s="8"/>
      <c r="O5" s="7"/>
      <c r="P5" s="5"/>
      <c r="Q5" s="8"/>
      <c r="R5" s="7"/>
      <c r="T5" s="8"/>
      <c r="V5" s="5"/>
      <c r="W5" s="8"/>
    </row>
    <row r="6" spans="1:23" x14ac:dyDescent="0.2">
      <c r="A6" t="s">
        <v>11</v>
      </c>
      <c r="D6" s="32">
        <f>-'kolommenbalans 2016'!J19</f>
        <v>18100</v>
      </c>
      <c r="E6" s="8"/>
      <c r="F6" s="7"/>
      <c r="G6" s="32">
        <v>21500</v>
      </c>
      <c r="H6" s="8"/>
      <c r="I6" s="7"/>
      <c r="J6" s="4">
        <f>-'kolommenbalans 2014'!I17</f>
        <v>7500</v>
      </c>
      <c r="K6" s="8"/>
      <c r="L6" s="7"/>
      <c r="N6" s="8"/>
      <c r="O6" s="7"/>
      <c r="Q6" s="8"/>
      <c r="R6" s="7"/>
      <c r="S6" s="5">
        <v>7500</v>
      </c>
      <c r="T6" s="8"/>
      <c r="W6" s="8"/>
    </row>
    <row r="7" spans="1:23" x14ac:dyDescent="0.2">
      <c r="A7" t="s">
        <v>1</v>
      </c>
      <c r="D7" s="44">
        <v>0</v>
      </c>
      <c r="E7" s="8"/>
      <c r="F7" s="7"/>
      <c r="G7" s="32">
        <v>0</v>
      </c>
      <c r="H7" s="8"/>
      <c r="I7" s="7"/>
      <c r="J7" s="5">
        <v>0</v>
      </c>
      <c r="K7" s="8"/>
      <c r="L7" s="7"/>
      <c r="M7" s="5">
        <v>0</v>
      </c>
      <c r="N7" s="8"/>
      <c r="O7" s="7"/>
      <c r="P7" s="5">
        <v>0</v>
      </c>
      <c r="Q7" s="8"/>
      <c r="R7" s="7"/>
      <c r="S7" s="5">
        <v>0</v>
      </c>
      <c r="T7" s="8"/>
      <c r="V7" s="5">
        <v>0</v>
      </c>
      <c r="W7" s="8"/>
    </row>
    <row r="8" spans="1:23" x14ac:dyDescent="0.2">
      <c r="A8" t="s">
        <v>2</v>
      </c>
      <c r="D8" s="44">
        <v>0</v>
      </c>
      <c r="E8" s="8"/>
      <c r="F8" s="7"/>
      <c r="G8" s="32">
        <v>0</v>
      </c>
      <c r="H8" s="8"/>
      <c r="I8" s="7"/>
      <c r="J8" s="5">
        <v>0</v>
      </c>
      <c r="K8" s="8"/>
      <c r="L8" s="7"/>
      <c r="M8" s="5">
        <v>7500</v>
      </c>
      <c r="N8" s="8"/>
      <c r="O8" s="7"/>
      <c r="P8" s="5">
        <v>7500</v>
      </c>
      <c r="Q8" s="8"/>
      <c r="R8" s="7"/>
      <c r="T8" s="8"/>
      <c r="V8" s="5">
        <v>7500</v>
      </c>
      <c r="W8" s="8"/>
    </row>
    <row r="9" spans="1:23" x14ac:dyDescent="0.2">
      <c r="A9" s="70" t="s">
        <v>432</v>
      </c>
      <c r="D9" s="44">
        <f>-'kolommenbalans 2016'!J22-'kolommenbalans 2016'!J23</f>
        <v>334.53999999999996</v>
      </c>
      <c r="E9" s="8"/>
      <c r="F9" s="7"/>
      <c r="H9" s="8"/>
      <c r="I9" s="7"/>
      <c r="J9" s="5"/>
      <c r="K9" s="8"/>
      <c r="L9" s="7"/>
      <c r="M9" s="5"/>
      <c r="N9" s="8"/>
      <c r="O9" s="7"/>
      <c r="P9" s="5"/>
      <c r="Q9" s="8"/>
      <c r="R9" s="7"/>
      <c r="T9" s="8"/>
      <c r="V9" s="5"/>
      <c r="W9" s="8"/>
    </row>
    <row r="10" spans="1:23" ht="13.5" thickBot="1" x14ac:dyDescent="0.25">
      <c r="A10" s="70" t="s">
        <v>431</v>
      </c>
      <c r="D10" s="85">
        <f>-'kolommenbalans 2016'!K30</f>
        <v>32.479999999999997</v>
      </c>
      <c r="E10" s="8"/>
      <c r="F10" s="7"/>
      <c r="G10" s="32">
        <v>217.11</v>
      </c>
      <c r="H10" s="8"/>
      <c r="I10" s="7"/>
      <c r="J10" s="6">
        <f>-'kolommenbalans 2014'!J15-'kolommenbalans 2014'!K20</f>
        <v>182.76</v>
      </c>
      <c r="K10" s="8"/>
      <c r="L10" s="7"/>
      <c r="M10" s="6">
        <f>+'kolommenbalans 2014'!K17</f>
        <v>112.35</v>
      </c>
      <c r="N10" s="8"/>
      <c r="O10" s="7"/>
      <c r="P10" s="6">
        <v>62</v>
      </c>
      <c r="Q10" s="8"/>
      <c r="R10" s="7"/>
      <c r="S10" s="6">
        <f>+'meerjarenbegroting '!F8</f>
        <v>100</v>
      </c>
      <c r="T10" s="8"/>
      <c r="V10" s="6">
        <v>86.56</v>
      </c>
      <c r="W10" s="8"/>
    </row>
    <row r="11" spans="1:23" ht="19.5" customHeight="1" x14ac:dyDescent="0.2">
      <c r="A11" s="3" t="s">
        <v>3</v>
      </c>
      <c r="D11" s="86"/>
      <c r="E11" s="8">
        <f>SUM(D6:D10)</f>
        <v>18467.02</v>
      </c>
      <c r="F11" s="7"/>
      <c r="G11" s="86"/>
      <c r="H11" s="8">
        <v>21717.11</v>
      </c>
      <c r="I11" s="7"/>
      <c r="J11" s="7"/>
      <c r="K11" s="8">
        <f>SUM(J6:J10)</f>
        <v>7682.76</v>
      </c>
      <c r="L11" s="7"/>
      <c r="M11" s="7"/>
      <c r="N11" s="8">
        <f>SUM(M7:M10)</f>
        <v>7612.35</v>
      </c>
      <c r="O11" s="7"/>
      <c r="P11" s="7"/>
      <c r="Q11" s="8">
        <f>SUM(P7:P10)</f>
        <v>7562</v>
      </c>
      <c r="R11" s="7"/>
      <c r="S11" s="7"/>
      <c r="T11" s="8">
        <f>SUM(S6:S10)</f>
        <v>7600</v>
      </c>
      <c r="V11" s="7"/>
      <c r="W11" s="8">
        <v>7586.56</v>
      </c>
    </row>
    <row r="12" spans="1:23" x14ac:dyDescent="0.2">
      <c r="D12" s="44"/>
      <c r="E12" s="8"/>
      <c r="F12" s="7"/>
      <c r="G12" s="44"/>
      <c r="H12" s="8"/>
      <c r="I12" s="7"/>
      <c r="J12" s="5"/>
      <c r="K12" s="8"/>
      <c r="L12" s="7"/>
      <c r="M12" s="5"/>
      <c r="N12" s="8"/>
      <c r="O12" s="7"/>
      <c r="P12" s="5"/>
      <c r="Q12" s="8"/>
      <c r="R12" s="7"/>
      <c r="T12" s="8"/>
      <c r="V12" s="5"/>
      <c r="W12" s="8"/>
    </row>
    <row r="13" spans="1:23" x14ac:dyDescent="0.2">
      <c r="A13" t="s">
        <v>4</v>
      </c>
      <c r="D13" s="44">
        <v>0</v>
      </c>
      <c r="E13" s="8"/>
      <c r="F13" s="7"/>
      <c r="G13" s="44">
        <v>0</v>
      </c>
      <c r="H13" s="8"/>
      <c r="I13" s="7"/>
      <c r="J13" s="5">
        <v>0</v>
      </c>
      <c r="K13" s="8"/>
      <c r="L13" s="7"/>
      <c r="M13" s="5">
        <v>0</v>
      </c>
      <c r="N13" s="8"/>
      <c r="O13" s="7"/>
      <c r="P13" s="5">
        <v>0</v>
      </c>
      <c r="Q13" s="8"/>
      <c r="R13" s="7"/>
      <c r="S13" s="5">
        <v>0</v>
      </c>
      <c r="T13" s="8"/>
      <c r="V13" s="5">
        <v>0</v>
      </c>
      <c r="W13" s="8"/>
    </row>
    <row r="14" spans="1:23" ht="13.5" thickBot="1" x14ac:dyDescent="0.25">
      <c r="A14" t="s">
        <v>5</v>
      </c>
      <c r="D14" s="85">
        <v>0</v>
      </c>
      <c r="E14" s="8"/>
      <c r="F14" s="7"/>
      <c r="G14" s="85">
        <v>0</v>
      </c>
      <c r="H14" s="8"/>
      <c r="I14" s="7"/>
      <c r="J14" s="6">
        <v>0</v>
      </c>
      <c r="K14" s="8"/>
      <c r="L14" s="7"/>
      <c r="M14" s="6">
        <v>0</v>
      </c>
      <c r="N14" s="8"/>
      <c r="O14" s="7"/>
      <c r="P14" s="6">
        <v>0</v>
      </c>
      <c r="Q14" s="8"/>
      <c r="R14" s="7"/>
      <c r="S14" s="6">
        <v>0</v>
      </c>
      <c r="T14" s="8"/>
      <c r="V14" s="6">
        <v>0</v>
      </c>
      <c r="W14" s="8"/>
    </row>
    <row r="15" spans="1:23" ht="19.5" customHeight="1" x14ac:dyDescent="0.2">
      <c r="A15" s="3" t="s">
        <v>6</v>
      </c>
      <c r="D15" s="86"/>
      <c r="E15" s="8">
        <f>-SUM(D13:D14)</f>
        <v>0</v>
      </c>
      <c r="F15" s="7"/>
      <c r="G15" s="86"/>
      <c r="H15" s="8">
        <v>0</v>
      </c>
      <c r="I15" s="7"/>
      <c r="J15" s="7"/>
      <c r="K15" s="8">
        <f>-SUM(J13:J14)</f>
        <v>0</v>
      </c>
      <c r="L15" s="7"/>
      <c r="M15" s="7"/>
      <c r="N15" s="8">
        <f>-SUM(M13:M14)</f>
        <v>0</v>
      </c>
      <c r="O15" s="7"/>
      <c r="P15" s="7"/>
      <c r="Q15" s="8">
        <f>-SUM(P13:P14)</f>
        <v>0</v>
      </c>
      <c r="R15" s="7"/>
      <c r="S15" s="7"/>
      <c r="T15" s="8">
        <f>-SUM(S13:S14)</f>
        <v>0</v>
      </c>
      <c r="V15" s="7"/>
      <c r="W15" s="8">
        <v>0</v>
      </c>
    </row>
    <row r="16" spans="1:23" ht="13.5" thickBot="1" x14ac:dyDescent="0.25">
      <c r="A16" t="s">
        <v>14</v>
      </c>
      <c r="D16" s="44"/>
      <c r="E16" s="19">
        <f>+E15/E11</f>
        <v>0</v>
      </c>
      <c r="F16" s="26"/>
      <c r="G16" s="44"/>
      <c r="H16" s="19">
        <v>0</v>
      </c>
      <c r="I16" s="26"/>
      <c r="J16" s="5"/>
      <c r="K16" s="19">
        <f>+K15/K11</f>
        <v>0</v>
      </c>
      <c r="L16" s="26"/>
      <c r="M16" s="5"/>
      <c r="N16" s="19">
        <f>+N15/N11</f>
        <v>0</v>
      </c>
      <c r="O16" s="26"/>
      <c r="P16" s="5"/>
      <c r="Q16" s="19">
        <f>+Q15/Q11</f>
        <v>0</v>
      </c>
      <c r="R16" s="26"/>
      <c r="T16" s="19">
        <f>+T15/T11</f>
        <v>0</v>
      </c>
      <c r="V16" s="5"/>
      <c r="W16" s="19">
        <v>0</v>
      </c>
    </row>
    <row r="17" spans="1:25" ht="19.5" customHeight="1" x14ac:dyDescent="0.2">
      <c r="A17" s="3" t="s">
        <v>8</v>
      </c>
      <c r="D17" s="86"/>
      <c r="E17" s="8">
        <f>+E11+E15</f>
        <v>18467.02</v>
      </c>
      <c r="F17" s="7"/>
      <c r="G17" s="86"/>
      <c r="H17" s="8">
        <v>21717.11</v>
      </c>
      <c r="I17" s="7"/>
      <c r="J17" s="7"/>
      <c r="K17" s="8">
        <f>+K11+K15</f>
        <v>7682.76</v>
      </c>
      <c r="L17" s="7"/>
      <c r="M17" s="7"/>
      <c r="N17" s="8">
        <f>+N11+N15</f>
        <v>7612.35</v>
      </c>
      <c r="O17" s="7"/>
      <c r="P17" s="7"/>
      <c r="Q17" s="8">
        <f>+Q11+Q15</f>
        <v>7562</v>
      </c>
      <c r="R17" s="7"/>
      <c r="S17" s="7"/>
      <c r="T17" s="8">
        <f>+T11+T15</f>
        <v>7600</v>
      </c>
      <c r="V17" s="7"/>
      <c r="W17" s="8">
        <v>7586.56</v>
      </c>
    </row>
    <row r="18" spans="1:25" ht="13.5" thickBot="1" x14ac:dyDescent="0.25">
      <c r="A18" t="s">
        <v>7</v>
      </c>
      <c r="D18" s="44"/>
      <c r="E18" s="16">
        <v>0</v>
      </c>
      <c r="F18" s="7"/>
      <c r="G18" s="44"/>
      <c r="H18" s="16">
        <v>0</v>
      </c>
      <c r="I18" s="7"/>
      <c r="J18" s="5"/>
      <c r="K18" s="16">
        <v>0</v>
      </c>
      <c r="L18" s="7"/>
      <c r="M18" s="5"/>
      <c r="N18" s="16">
        <v>0</v>
      </c>
      <c r="O18" s="7"/>
      <c r="P18" s="5"/>
      <c r="Q18" s="16">
        <v>0</v>
      </c>
      <c r="R18" s="7"/>
      <c r="T18" s="16">
        <v>0</v>
      </c>
      <c r="V18" s="5"/>
      <c r="W18" s="16">
        <v>0</v>
      </c>
    </row>
    <row r="19" spans="1:25" ht="19.5" customHeight="1" x14ac:dyDescent="0.2">
      <c r="A19" s="3" t="s">
        <v>9</v>
      </c>
      <c r="D19" s="86"/>
      <c r="E19" s="8">
        <f>+E18+E17</f>
        <v>18467.02</v>
      </c>
      <c r="F19" s="7"/>
      <c r="G19" s="86"/>
      <c r="H19" s="8">
        <v>21717.11</v>
      </c>
      <c r="I19" s="7"/>
      <c r="J19" s="7"/>
      <c r="K19" s="8">
        <f>+K18+K17</f>
        <v>7682.76</v>
      </c>
      <c r="L19" s="7"/>
      <c r="M19" s="7"/>
      <c r="N19" s="8">
        <f>+N18+N17</f>
        <v>7612.35</v>
      </c>
      <c r="O19" s="7"/>
      <c r="P19" s="7"/>
      <c r="Q19" s="8">
        <f>+Q18+Q17</f>
        <v>7562</v>
      </c>
      <c r="R19" s="7"/>
      <c r="S19" s="7"/>
      <c r="T19" s="8">
        <f>+T18+T17</f>
        <v>7600</v>
      </c>
      <c r="V19" s="7"/>
      <c r="W19" s="8">
        <v>7586.56</v>
      </c>
    </row>
    <row r="20" spans="1:25" x14ac:dyDescent="0.2">
      <c r="D20" s="44"/>
      <c r="E20" s="8"/>
      <c r="F20" s="7"/>
      <c r="G20" s="44"/>
      <c r="H20" s="8"/>
      <c r="I20" s="7"/>
      <c r="J20" s="5"/>
      <c r="K20" s="8"/>
      <c r="L20" s="7"/>
      <c r="M20" s="5"/>
      <c r="N20" s="8"/>
      <c r="O20" s="7"/>
      <c r="P20" s="5"/>
      <c r="Q20" s="8"/>
      <c r="R20" s="7"/>
      <c r="T20" s="8"/>
      <c r="V20" s="5"/>
      <c r="W20" s="8"/>
    </row>
    <row r="21" spans="1:25" ht="15.75" x14ac:dyDescent="0.25">
      <c r="A21" s="2" t="s">
        <v>10</v>
      </c>
      <c r="D21" s="44"/>
      <c r="E21" s="8"/>
      <c r="F21" s="7"/>
      <c r="G21" s="44"/>
      <c r="H21" s="8"/>
      <c r="I21" s="7"/>
      <c r="J21" s="5"/>
      <c r="K21" s="8"/>
      <c r="L21" s="7"/>
      <c r="M21" s="5"/>
      <c r="N21" s="8"/>
      <c r="O21" s="7"/>
      <c r="P21" s="5"/>
      <c r="Q21" s="8"/>
      <c r="R21" s="7"/>
      <c r="T21" s="8"/>
      <c r="V21" s="5"/>
      <c r="W21" s="8"/>
    </row>
    <row r="22" spans="1:25" x14ac:dyDescent="0.2">
      <c r="A22" s="70" t="s">
        <v>419</v>
      </c>
      <c r="D22" s="44">
        <f>+'kolommenbalans 2016'!N19+'kolommenbalans 2016'!O26+'kolommenbalans 2016'!O27</f>
        <v>32271.66</v>
      </c>
      <c r="E22" s="8"/>
      <c r="F22" s="7"/>
      <c r="G22" s="44">
        <v>12747.69</v>
      </c>
      <c r="H22" s="8"/>
      <c r="I22" s="7"/>
      <c r="J22" s="5">
        <f>-'kolommenbalans 2014'!G21</f>
        <v>6000</v>
      </c>
      <c r="K22" s="8"/>
      <c r="L22" s="7"/>
      <c r="M22" s="5">
        <v>0</v>
      </c>
      <c r="N22" s="8"/>
      <c r="O22" s="7"/>
      <c r="P22" s="5">
        <v>0</v>
      </c>
      <c r="Q22" s="8"/>
      <c r="R22" s="7"/>
      <c r="S22" s="5">
        <v>7500</v>
      </c>
      <c r="T22" s="8"/>
      <c r="V22" s="5">
        <v>5053.45</v>
      </c>
      <c r="W22" s="8"/>
    </row>
    <row r="23" spans="1:25" x14ac:dyDescent="0.2">
      <c r="A23" s="70" t="s">
        <v>433</v>
      </c>
      <c r="D23" s="44">
        <v>-2500</v>
      </c>
      <c r="E23" s="8"/>
      <c r="F23" s="7"/>
      <c r="G23" s="44">
        <v>5500</v>
      </c>
      <c r="H23" s="8"/>
      <c r="I23" s="7"/>
      <c r="J23" s="5"/>
      <c r="K23" s="8"/>
      <c r="L23" s="7"/>
      <c r="M23" s="5"/>
      <c r="N23" s="8"/>
      <c r="O23" s="7"/>
      <c r="P23" s="5"/>
      <c r="Q23" s="8"/>
      <c r="R23" s="7"/>
      <c r="T23" s="8"/>
      <c r="V23" s="5"/>
      <c r="W23" s="8"/>
    </row>
    <row r="24" spans="1:25" x14ac:dyDescent="0.2">
      <c r="A24" s="99" t="s">
        <v>421</v>
      </c>
      <c r="D24" s="44">
        <f>+'kolommenbalans 2016'!N25</f>
        <v>-1021.6599999999999</v>
      </c>
      <c r="E24" s="8"/>
      <c r="F24" s="7"/>
      <c r="G24" s="44">
        <v>1252.31</v>
      </c>
      <c r="H24" s="8"/>
      <c r="I24" s="7"/>
      <c r="J24" s="5"/>
      <c r="K24" s="8"/>
      <c r="L24" s="7"/>
      <c r="M24" s="5"/>
      <c r="N24" s="8"/>
      <c r="O24" s="7"/>
      <c r="P24" s="5"/>
      <c r="Q24" s="8"/>
      <c r="R24" s="7"/>
      <c r="T24" s="8"/>
      <c r="V24" s="5"/>
      <c r="W24" s="8"/>
    </row>
    <row r="25" spans="1:25" ht="13.5" thickBot="1" x14ac:dyDescent="0.25">
      <c r="A25" t="s">
        <v>5</v>
      </c>
      <c r="D25" s="85">
        <f>-'kolommenbalans 2016'!M32</f>
        <v>334.53999999999996</v>
      </c>
      <c r="E25" s="8"/>
      <c r="F25" s="7"/>
      <c r="G25" s="44">
        <v>163.28</v>
      </c>
      <c r="H25" s="8"/>
      <c r="I25" s="7"/>
      <c r="J25" s="6">
        <f>+'kolommenbalans 2014'!K17</f>
        <v>112.35</v>
      </c>
      <c r="K25" s="8"/>
      <c r="L25" s="7"/>
      <c r="M25" s="6">
        <v>100</v>
      </c>
      <c r="N25" s="8"/>
      <c r="O25" s="7"/>
      <c r="P25" s="9" t="s">
        <v>351</v>
      </c>
      <c r="Q25" s="8"/>
      <c r="R25" s="7"/>
      <c r="S25" s="6">
        <f>+'meerjarenbegroting '!F21</f>
        <v>100</v>
      </c>
      <c r="T25" s="8"/>
      <c r="V25" s="6">
        <v>74.56</v>
      </c>
      <c r="W25" s="8"/>
      <c r="Y25" s="52"/>
    </row>
    <row r="26" spans="1:25" x14ac:dyDescent="0.2">
      <c r="D26" s="44"/>
      <c r="E26" s="8"/>
      <c r="F26" s="7"/>
      <c r="G26" s="44"/>
      <c r="H26" s="8"/>
      <c r="I26" s="7"/>
      <c r="J26" s="5"/>
      <c r="K26" s="8"/>
      <c r="L26" s="7"/>
      <c r="M26" s="5"/>
      <c r="N26" s="8"/>
      <c r="O26" s="7"/>
      <c r="P26" s="5"/>
      <c r="Q26" s="8"/>
      <c r="R26" s="7"/>
      <c r="T26" s="8"/>
      <c r="V26" s="5"/>
      <c r="W26" s="8"/>
    </row>
    <row r="27" spans="1:25" ht="19.5" customHeight="1" x14ac:dyDescent="0.2">
      <c r="A27" s="3" t="s">
        <v>13</v>
      </c>
      <c r="D27" s="86"/>
      <c r="E27" s="8">
        <f>SUM(D21:D25)</f>
        <v>29084.54</v>
      </c>
      <c r="F27" s="7"/>
      <c r="G27" s="86"/>
      <c r="H27" s="8">
        <v>19663.280000000002</v>
      </c>
      <c r="I27" s="7"/>
      <c r="J27" s="7"/>
      <c r="K27" s="8">
        <f>SUM(J21:J25)</f>
        <v>6112.35</v>
      </c>
      <c r="L27" s="7"/>
      <c r="M27" s="7"/>
      <c r="N27" s="8">
        <f>SUM(M21:M25)</f>
        <v>100</v>
      </c>
      <c r="O27" s="7"/>
      <c r="P27" s="7"/>
      <c r="Q27" s="8">
        <f>SUM(P21:P25)</f>
        <v>0</v>
      </c>
      <c r="R27" s="7"/>
      <c r="S27" s="7"/>
      <c r="T27" s="8">
        <f>+S25+S22</f>
        <v>7600</v>
      </c>
      <c r="V27" s="7"/>
      <c r="W27" s="8">
        <v>5128.01</v>
      </c>
    </row>
    <row r="28" spans="1:25" x14ac:dyDescent="0.2">
      <c r="D28" s="44"/>
      <c r="E28" s="8"/>
      <c r="F28" s="7"/>
      <c r="G28" s="44"/>
      <c r="H28" s="8"/>
      <c r="I28" s="7"/>
      <c r="J28" s="5"/>
      <c r="K28" s="8"/>
      <c r="L28" s="7"/>
      <c r="M28" s="5"/>
      <c r="N28" s="8"/>
      <c r="O28" s="7"/>
      <c r="P28" s="5"/>
      <c r="Q28" s="8"/>
      <c r="R28" s="7"/>
      <c r="T28" s="8"/>
      <c r="V28" s="5"/>
      <c r="W28" s="8"/>
      <c r="X28" s="52"/>
    </row>
    <row r="29" spans="1:25" ht="19.5" customHeight="1" x14ac:dyDescent="0.2">
      <c r="A29" s="1" t="s">
        <v>15</v>
      </c>
      <c r="D29" s="86"/>
      <c r="E29" s="8">
        <f>+E19-E27</f>
        <v>-10617.52</v>
      </c>
      <c r="F29" s="7"/>
      <c r="G29" s="86"/>
      <c r="H29" s="8">
        <v>2053.8299999999981</v>
      </c>
      <c r="I29" s="7"/>
      <c r="J29" s="7"/>
      <c r="K29" s="8">
        <f>+K19-K27</f>
        <v>1570.4099999999999</v>
      </c>
      <c r="L29" s="7"/>
      <c r="M29" s="7"/>
      <c r="N29" s="8">
        <f>+N19-N27</f>
        <v>7512.35</v>
      </c>
      <c r="O29" s="7"/>
      <c r="P29" s="7"/>
      <c r="Q29" s="8">
        <f>+Q19-Q27</f>
        <v>7562</v>
      </c>
      <c r="R29" s="7"/>
      <c r="S29" s="7"/>
      <c r="T29" s="8">
        <f>+T19-T27</f>
        <v>0</v>
      </c>
      <c r="V29" s="7"/>
      <c r="W29" s="8">
        <v>2458.5500000000002</v>
      </c>
    </row>
    <row r="30" spans="1:25" x14ac:dyDescent="0.2">
      <c r="D30" s="44"/>
      <c r="E30" s="7"/>
      <c r="F30" s="7"/>
      <c r="G30" s="44"/>
      <c r="H30" s="7"/>
      <c r="I30" s="7"/>
      <c r="J30" s="5"/>
      <c r="K30" s="7"/>
      <c r="L30" s="7"/>
      <c r="M30" s="5"/>
      <c r="N30" s="7"/>
      <c r="O30" s="7"/>
      <c r="P30" s="5"/>
      <c r="Q30" s="7"/>
      <c r="R30" s="7"/>
      <c r="T30" s="7"/>
      <c r="V30" s="5"/>
      <c r="W30" s="7"/>
    </row>
    <row r="31" spans="1:25" x14ac:dyDescent="0.2">
      <c r="A31" s="20" t="s">
        <v>16</v>
      </c>
      <c r="D31" s="44"/>
      <c r="E31" s="7"/>
      <c r="F31" s="7"/>
      <c r="G31" s="44"/>
      <c r="H31" s="7"/>
      <c r="I31" s="7"/>
      <c r="J31" s="5"/>
      <c r="K31" s="7"/>
      <c r="L31" s="7"/>
      <c r="M31" s="5"/>
      <c r="N31" s="7"/>
      <c r="O31" s="7"/>
      <c r="P31" s="5"/>
      <c r="Q31" s="7"/>
      <c r="R31" s="7"/>
      <c r="T31" s="7"/>
      <c r="V31" s="5"/>
      <c r="W31" s="7"/>
    </row>
    <row r="32" spans="1:25" x14ac:dyDescent="0.2">
      <c r="A32" t="s">
        <v>17</v>
      </c>
      <c r="D32" s="44">
        <v>0</v>
      </c>
      <c r="E32" s="8"/>
      <c r="F32" s="7"/>
      <c r="G32" s="44">
        <v>0</v>
      </c>
      <c r="H32" s="8"/>
      <c r="I32" s="7"/>
      <c r="J32" s="5">
        <v>0</v>
      </c>
      <c r="K32" s="8"/>
      <c r="L32" s="7"/>
      <c r="M32" s="5">
        <v>7500</v>
      </c>
      <c r="N32" s="8"/>
      <c r="O32" s="7"/>
      <c r="P32" s="5">
        <v>7500</v>
      </c>
      <c r="Q32" s="8"/>
      <c r="R32" s="7"/>
      <c r="S32" s="5">
        <v>0</v>
      </c>
      <c r="T32" s="8"/>
      <c r="V32" s="5">
        <v>2458.5500000000002</v>
      </c>
      <c r="W32" s="8"/>
    </row>
    <row r="33" spans="1:23" ht="13.5" thickBot="1" x14ac:dyDescent="0.25">
      <c r="A33" t="s">
        <v>28</v>
      </c>
      <c r="D33" s="85">
        <f>+E29</f>
        <v>-10617.52</v>
      </c>
      <c r="E33" s="8"/>
      <c r="F33" s="7"/>
      <c r="G33" s="85">
        <v>2053.8299999999981</v>
      </c>
      <c r="H33" s="8"/>
      <c r="I33" s="7"/>
      <c r="J33" s="6">
        <v>1570</v>
      </c>
      <c r="K33" s="8"/>
      <c r="L33" s="7"/>
      <c r="M33" s="6">
        <v>0</v>
      </c>
      <c r="N33" s="8"/>
      <c r="O33" s="7"/>
      <c r="P33" s="6">
        <v>0</v>
      </c>
      <c r="Q33" s="8"/>
      <c r="R33" s="7"/>
      <c r="S33" s="6">
        <f>+T29</f>
        <v>0</v>
      </c>
      <c r="T33" s="8"/>
      <c r="V33" s="9">
        <v>0</v>
      </c>
      <c r="W33" s="8"/>
    </row>
    <row r="34" spans="1:23" ht="19.5" customHeight="1" x14ac:dyDescent="0.2">
      <c r="A34" s="3"/>
      <c r="D34" s="86"/>
      <c r="E34" s="8">
        <f>+D32+D33</f>
        <v>-10617.52</v>
      </c>
      <c r="F34" s="7"/>
      <c r="G34" s="86"/>
      <c r="H34" s="8">
        <v>2053.8299999999981</v>
      </c>
      <c r="I34" s="7"/>
      <c r="J34" s="7"/>
      <c r="K34" s="8">
        <f>+J32+J33</f>
        <v>1570</v>
      </c>
      <c r="L34" s="7"/>
      <c r="M34" s="7"/>
      <c r="N34" s="8">
        <f>+M32+M33</f>
        <v>7500</v>
      </c>
      <c r="O34" s="7"/>
      <c r="P34" s="7"/>
      <c r="Q34" s="8">
        <f>+P32+P33</f>
        <v>7500</v>
      </c>
      <c r="R34" s="7"/>
      <c r="S34" s="7"/>
      <c r="T34" s="8">
        <f>+S33+S32</f>
        <v>0</v>
      </c>
      <c r="V34" s="7"/>
      <c r="W34" s="8">
        <v>2458.5500000000002</v>
      </c>
    </row>
    <row r="35" spans="1:23" ht="19.5" customHeight="1" x14ac:dyDescent="0.2">
      <c r="A35" s="3"/>
      <c r="D35" s="86"/>
      <c r="E35" s="8"/>
      <c r="F35" s="7"/>
      <c r="G35" s="86"/>
      <c r="H35" s="8"/>
      <c r="I35" s="7"/>
      <c r="J35" s="7"/>
      <c r="K35" s="8"/>
      <c r="L35" s="7"/>
      <c r="M35" s="7"/>
      <c r="N35" s="8"/>
      <c r="O35" s="7"/>
      <c r="P35" s="7"/>
      <c r="Q35" s="8"/>
      <c r="R35" s="7"/>
      <c r="S35" s="7"/>
      <c r="T35" s="8"/>
      <c r="V35" s="7"/>
      <c r="W35" s="8"/>
    </row>
    <row r="36" spans="1:23" ht="19.5" customHeight="1" x14ac:dyDescent="0.2">
      <c r="A36" s="3"/>
      <c r="F36" s="7"/>
      <c r="I36" s="7"/>
      <c r="L36" s="7"/>
      <c r="O36" s="7"/>
      <c r="R36" s="7"/>
      <c r="S36" s="7"/>
      <c r="T36" s="7"/>
    </row>
    <row r="37" spans="1:23" x14ac:dyDescent="0.2">
      <c r="A37" t="s">
        <v>43</v>
      </c>
    </row>
    <row r="38" spans="1:23" x14ac:dyDescent="0.2">
      <c r="A38" t="s">
        <v>47</v>
      </c>
      <c r="D38" s="95"/>
      <c r="G38" s="95"/>
      <c r="J38" s="96"/>
    </row>
    <row r="39" spans="1:23" x14ac:dyDescent="0.2">
      <c r="A39" s="76"/>
      <c r="B39" s="70" t="s">
        <v>388</v>
      </c>
      <c r="C39" s="76"/>
      <c r="D39" s="87"/>
      <c r="E39" s="76"/>
      <c r="F39" s="76"/>
      <c r="G39" s="87"/>
      <c r="H39" s="76"/>
      <c r="I39" s="76"/>
      <c r="J39" s="88"/>
      <c r="K39" s="76"/>
      <c r="L39" s="76"/>
      <c r="M39" s="76"/>
      <c r="N39" s="76"/>
      <c r="O39" s="76"/>
      <c r="P39" s="76"/>
      <c r="Q39" s="76"/>
      <c r="R39" s="76"/>
    </row>
    <row r="40" spans="1:23" x14ac:dyDescent="0.2">
      <c r="A40" s="76"/>
      <c r="B40" s="70" t="s">
        <v>434</v>
      </c>
      <c r="C40" s="76"/>
      <c r="D40" s="87"/>
      <c r="E40" s="76"/>
      <c r="F40" s="76"/>
      <c r="G40" s="87"/>
      <c r="H40" s="76"/>
      <c r="I40" s="76"/>
      <c r="J40" s="88"/>
      <c r="K40" s="76"/>
      <c r="L40" s="76"/>
      <c r="M40" s="76"/>
      <c r="N40" s="76"/>
      <c r="O40" s="76"/>
      <c r="P40" s="76"/>
      <c r="Q40" s="76"/>
      <c r="R40" s="76"/>
    </row>
    <row r="41" spans="1:23" x14ac:dyDescent="0.2">
      <c r="A41" s="76"/>
      <c r="B41" s="76"/>
      <c r="C41" s="76"/>
      <c r="D41" s="87"/>
      <c r="E41" s="76"/>
      <c r="F41" s="76"/>
      <c r="G41" s="87"/>
      <c r="H41" s="76"/>
      <c r="I41" s="76"/>
      <c r="J41" s="88"/>
      <c r="K41" s="76"/>
      <c r="L41" s="76"/>
      <c r="M41" s="76"/>
      <c r="N41" s="76"/>
      <c r="O41" s="76"/>
      <c r="P41" s="76"/>
      <c r="Q41" s="76"/>
      <c r="R41" s="76"/>
    </row>
    <row r="42" spans="1:23" x14ac:dyDescent="0.2">
      <c r="A42" s="70" t="s">
        <v>414</v>
      </c>
      <c r="B42" s="70" t="s">
        <v>107</v>
      </c>
      <c r="C42" s="76"/>
      <c r="D42" s="87"/>
      <c r="E42" s="76"/>
      <c r="F42" s="76"/>
      <c r="G42" s="87"/>
      <c r="H42" s="76"/>
      <c r="I42" s="76"/>
      <c r="J42" s="88"/>
      <c r="K42" s="76"/>
      <c r="L42" s="76"/>
      <c r="M42" s="76"/>
      <c r="N42" s="76"/>
      <c r="O42" s="76"/>
      <c r="P42" s="76"/>
      <c r="Q42" s="76"/>
      <c r="R42" s="76"/>
    </row>
    <row r="43" spans="1:23" x14ac:dyDescent="0.2">
      <c r="A43" s="76"/>
      <c r="B43" s="70" t="s">
        <v>415</v>
      </c>
      <c r="C43" s="76"/>
      <c r="D43" s="72">
        <f>+'kolommenbalans 2016'!M7+'kolommenbalans 2016'!M9+'kolommenbalans 2016'!M12+'kolommenbalans 2016'!M13</f>
        <v>107.64</v>
      </c>
      <c r="E43" s="76"/>
      <c r="F43" s="76"/>
      <c r="G43" s="87"/>
      <c r="H43" s="76"/>
      <c r="I43" s="76"/>
      <c r="J43" s="88"/>
      <c r="K43" s="76"/>
      <c r="L43" s="76"/>
      <c r="M43" s="76"/>
      <c r="N43" s="76"/>
      <c r="O43" s="76"/>
      <c r="P43" s="76"/>
      <c r="Q43" s="76"/>
      <c r="R43" s="76"/>
    </row>
    <row r="44" spans="1:23" x14ac:dyDescent="0.2">
      <c r="A44" s="76"/>
      <c r="B44" s="70" t="s">
        <v>256</v>
      </c>
      <c r="C44" s="76"/>
      <c r="D44" s="72">
        <f>+'kolommenbalans 2016'!M14</f>
        <v>59.9</v>
      </c>
      <c r="E44" s="76"/>
      <c r="F44" s="76"/>
      <c r="G44" s="87"/>
      <c r="H44" s="76"/>
      <c r="I44" s="76"/>
      <c r="J44" s="88"/>
      <c r="K44" s="76"/>
      <c r="L44" s="76"/>
      <c r="M44" s="76"/>
      <c r="N44" s="76"/>
      <c r="O44" s="76"/>
      <c r="P44" s="76"/>
      <c r="Q44" s="76"/>
      <c r="R44" s="76"/>
    </row>
    <row r="45" spans="1:23" x14ac:dyDescent="0.2">
      <c r="A45" s="76"/>
      <c r="B45" s="70" t="s">
        <v>389</v>
      </c>
      <c r="C45" s="76"/>
      <c r="D45" s="72">
        <v>167</v>
      </c>
      <c r="E45" s="76"/>
      <c r="F45" s="76"/>
      <c r="G45" s="87"/>
      <c r="H45" s="76"/>
      <c r="I45" s="76"/>
      <c r="J45" s="88"/>
      <c r="K45" s="76"/>
      <c r="L45" s="76"/>
      <c r="M45" s="76"/>
      <c r="N45" s="76"/>
      <c r="O45" s="76"/>
      <c r="P45" s="76"/>
      <c r="Q45" s="76"/>
      <c r="R45" s="76"/>
    </row>
    <row r="46" spans="1:23" x14ac:dyDescent="0.2">
      <c r="A46" s="76"/>
      <c r="B46" s="70"/>
      <c r="C46" s="71" t="s">
        <v>55</v>
      </c>
      <c r="D46" s="72">
        <f>SUM(D43:D45)</f>
        <v>334.53999999999996</v>
      </c>
      <c r="E46" s="76"/>
      <c r="F46" s="76"/>
      <c r="G46" s="87"/>
      <c r="H46" s="76"/>
      <c r="I46" s="76"/>
      <c r="J46" s="88"/>
      <c r="K46" s="76"/>
      <c r="L46" s="76"/>
      <c r="M46" s="76"/>
      <c r="N46" s="76"/>
      <c r="O46" s="76"/>
      <c r="P46" s="76"/>
      <c r="Q46" s="76"/>
      <c r="R46" s="76"/>
    </row>
    <row r="47" spans="1:23" x14ac:dyDescent="0.2">
      <c r="A47" s="76"/>
      <c r="B47" s="76"/>
      <c r="C47" s="76"/>
      <c r="D47" s="87"/>
      <c r="E47" s="76"/>
      <c r="F47" s="76"/>
      <c r="G47" s="87"/>
      <c r="H47" s="76"/>
      <c r="I47" s="76"/>
      <c r="J47" s="88"/>
      <c r="K47" s="76"/>
      <c r="L47" s="76"/>
      <c r="M47" s="76"/>
      <c r="N47" s="76"/>
      <c r="O47" s="76"/>
      <c r="P47" s="76"/>
      <c r="Q47" s="76"/>
      <c r="R47" s="76"/>
    </row>
    <row r="48" spans="1:23" x14ac:dyDescent="0.2">
      <c r="A48" s="70" t="s">
        <v>413</v>
      </c>
      <c r="B48" s="70" t="s">
        <v>390</v>
      </c>
      <c r="C48" s="76"/>
      <c r="D48" s="87"/>
      <c r="E48" s="76"/>
      <c r="F48" s="76"/>
      <c r="G48" s="87"/>
      <c r="H48" s="76"/>
      <c r="I48" s="76"/>
      <c r="J48" s="88"/>
      <c r="K48" s="76"/>
      <c r="L48" s="76"/>
      <c r="M48" s="76"/>
      <c r="N48" s="76"/>
      <c r="O48" s="76"/>
      <c r="P48" s="76"/>
      <c r="Q48" s="76"/>
      <c r="R48" s="76"/>
      <c r="V48" s="5"/>
    </row>
    <row r="49" spans="1:25" x14ac:dyDescent="0.2">
      <c r="A49" s="76"/>
      <c r="B49" s="70"/>
      <c r="C49" s="76"/>
      <c r="D49" s="87"/>
      <c r="E49" s="76"/>
      <c r="F49" s="76"/>
      <c r="G49" s="87"/>
      <c r="H49" s="76"/>
      <c r="I49" s="76"/>
      <c r="J49" s="88"/>
      <c r="K49" s="76"/>
      <c r="L49" s="76"/>
      <c r="M49" s="76"/>
      <c r="N49" s="76"/>
      <c r="O49" s="76"/>
      <c r="P49" s="76"/>
      <c r="Q49" s="76"/>
      <c r="R49" s="76"/>
      <c r="V49" s="5"/>
    </row>
    <row r="50" spans="1:25" x14ac:dyDescent="0.2">
      <c r="A50" s="70" t="s">
        <v>46</v>
      </c>
      <c r="B50" s="70"/>
      <c r="C50" s="70"/>
      <c r="D50" s="87"/>
      <c r="E50" s="76"/>
      <c r="F50" s="76"/>
      <c r="G50" s="87"/>
      <c r="H50" s="76"/>
      <c r="I50" s="76"/>
      <c r="J50" s="88"/>
      <c r="K50" s="76"/>
      <c r="L50" s="76"/>
      <c r="M50" s="76"/>
      <c r="N50" s="76"/>
      <c r="O50" s="76"/>
      <c r="P50" s="76"/>
      <c r="Q50" s="76"/>
      <c r="R50" s="76"/>
      <c r="V50" s="5"/>
    </row>
    <row r="51" spans="1:25" x14ac:dyDescent="0.2">
      <c r="A51" s="70"/>
      <c r="B51" s="70" t="s">
        <v>391</v>
      </c>
      <c r="C51" s="70"/>
      <c r="D51" s="87"/>
      <c r="E51" s="76"/>
      <c r="F51" s="76"/>
      <c r="G51" s="87"/>
      <c r="H51" s="76"/>
      <c r="I51" s="76"/>
      <c r="J51" s="88"/>
      <c r="K51" s="76"/>
      <c r="L51" s="76"/>
      <c r="M51" s="76"/>
      <c r="N51" s="76"/>
      <c r="O51" s="76"/>
      <c r="P51" s="76"/>
      <c r="Q51" s="76"/>
      <c r="R51" s="76"/>
      <c r="V51" s="5"/>
      <c r="W51" s="44"/>
    </row>
    <row r="52" spans="1:25" ht="63.75" customHeight="1" x14ac:dyDescent="0.2">
      <c r="A52" s="70"/>
      <c r="B52" s="263" t="s">
        <v>416</v>
      </c>
      <c r="C52" s="238"/>
      <c r="D52" s="238"/>
      <c r="E52" s="238"/>
      <c r="F52" s="238"/>
      <c r="G52" s="238"/>
      <c r="H52" s="238"/>
      <c r="I52" s="238"/>
      <c r="J52" s="238"/>
      <c r="K52" s="238"/>
      <c r="L52" s="238"/>
      <c r="M52" s="238"/>
      <c r="N52" s="238"/>
      <c r="O52" s="238"/>
      <c r="P52" s="238"/>
      <c r="Q52" s="238"/>
      <c r="R52" s="76"/>
      <c r="V52" s="5"/>
      <c r="W52" s="44"/>
    </row>
    <row r="53" spans="1:25" x14ac:dyDescent="0.2">
      <c r="A53" s="70"/>
      <c r="B53" s="70" t="s">
        <v>417</v>
      </c>
      <c r="C53" s="70"/>
      <c r="D53" s="87"/>
      <c r="E53" s="76"/>
      <c r="F53" s="76"/>
      <c r="G53" s="87"/>
      <c r="H53" s="76"/>
      <c r="I53" s="76"/>
      <c r="J53" s="88"/>
      <c r="K53" s="76"/>
      <c r="L53" s="76"/>
      <c r="M53" s="76"/>
      <c r="N53" s="76"/>
      <c r="O53" s="76"/>
      <c r="P53" s="76"/>
      <c r="Q53" s="76"/>
      <c r="R53" s="76"/>
      <c r="V53" s="5"/>
      <c r="W53" s="44"/>
    </row>
    <row r="54" spans="1:25" ht="39" customHeight="1" x14ac:dyDescent="0.2">
      <c r="A54" s="70"/>
      <c r="B54" s="263" t="s">
        <v>418</v>
      </c>
      <c r="C54" s="238"/>
      <c r="D54" s="238"/>
      <c r="E54" s="238"/>
      <c r="F54" s="238"/>
      <c r="G54" s="238"/>
      <c r="H54" s="238"/>
      <c r="I54" s="238"/>
      <c r="J54" s="238"/>
      <c r="K54" s="238"/>
      <c r="L54" s="238"/>
      <c r="M54" s="238"/>
      <c r="N54" s="238"/>
      <c r="O54" s="238"/>
      <c r="P54" s="238"/>
      <c r="Q54" s="238"/>
      <c r="R54" s="76"/>
      <c r="V54" s="5"/>
      <c r="W54" s="44"/>
    </row>
    <row r="55" spans="1:25" x14ac:dyDescent="0.2">
      <c r="A55" s="70"/>
      <c r="B55" s="97"/>
      <c r="C55" s="98"/>
      <c r="D55" s="98"/>
      <c r="E55" s="98"/>
      <c r="F55" s="98"/>
      <c r="G55" s="98"/>
      <c r="H55" s="98"/>
      <c r="I55" s="98"/>
      <c r="J55" s="98"/>
      <c r="K55" s="98"/>
      <c r="L55" s="98"/>
      <c r="M55" s="98"/>
      <c r="N55" s="98"/>
      <c r="O55" s="98"/>
      <c r="P55" s="98"/>
      <c r="Q55" s="98"/>
      <c r="R55" s="76"/>
      <c r="V55" s="5"/>
      <c r="W55" s="44"/>
    </row>
    <row r="56" spans="1:25" x14ac:dyDescent="0.2">
      <c r="A56" s="101" t="s">
        <v>425</v>
      </c>
      <c r="D56" s="72">
        <v>5500</v>
      </c>
      <c r="E56" s="76"/>
      <c r="F56" s="76"/>
      <c r="G56" s="87"/>
      <c r="H56" s="76"/>
      <c r="I56" s="76"/>
      <c r="J56" s="88"/>
      <c r="K56" s="76"/>
      <c r="L56" s="76"/>
      <c r="M56" s="76"/>
      <c r="N56" s="76"/>
      <c r="O56" s="76"/>
      <c r="P56" s="76"/>
      <c r="Q56" s="76"/>
      <c r="R56" s="76"/>
      <c r="V56" s="5"/>
      <c r="W56" s="44"/>
    </row>
    <row r="57" spans="1:25" s="5" customFormat="1" x14ac:dyDescent="0.2">
      <c r="A57" s="76"/>
      <c r="B57" s="70" t="s">
        <v>420</v>
      </c>
      <c r="C57" s="70"/>
      <c r="D57" s="72">
        <v>-2500</v>
      </c>
      <c r="E57" s="76"/>
      <c r="F57" s="76"/>
      <c r="G57" s="87"/>
      <c r="H57" s="76"/>
      <c r="I57" s="76"/>
      <c r="J57" s="88"/>
      <c r="K57" s="76"/>
      <c r="L57" s="76"/>
      <c r="M57" s="76"/>
      <c r="N57" s="76"/>
      <c r="O57" s="76"/>
      <c r="P57" s="76"/>
      <c r="Q57" s="76"/>
      <c r="R57" s="76"/>
      <c r="T57"/>
      <c r="U57"/>
      <c r="W57" s="44"/>
      <c r="X57"/>
      <c r="Y57"/>
    </row>
    <row r="58" spans="1:25" s="5" customFormat="1" x14ac:dyDescent="0.2">
      <c r="A58" s="70"/>
      <c r="B58" s="70" t="s">
        <v>422</v>
      </c>
      <c r="C58" s="70"/>
      <c r="D58" s="72">
        <v>4800</v>
      </c>
      <c r="E58"/>
      <c r="F58"/>
      <c r="G58" s="95"/>
      <c r="H58"/>
      <c r="I58"/>
      <c r="J58" s="96"/>
      <c r="K58"/>
      <c r="L58"/>
      <c r="M58"/>
      <c r="N58"/>
      <c r="O58"/>
      <c r="P58"/>
      <c r="Q58"/>
      <c r="R58"/>
      <c r="T58"/>
      <c r="U58"/>
      <c r="V58" s="23"/>
      <c r="W58" s="44"/>
      <c r="X58"/>
      <c r="Y58"/>
    </row>
    <row r="59" spans="1:25" s="5" customFormat="1" x14ac:dyDescent="0.2">
      <c r="A59"/>
      <c r="B59" s="70" t="s">
        <v>423</v>
      </c>
      <c r="C59" s="100"/>
      <c r="D59" s="72">
        <v>3500</v>
      </c>
      <c r="E59"/>
      <c r="F59"/>
      <c r="G59" s="32"/>
      <c r="H59"/>
      <c r="I59"/>
      <c r="J59" s="4"/>
      <c r="K59"/>
      <c r="L59"/>
      <c r="M59"/>
      <c r="N59"/>
      <c r="O59"/>
      <c r="P59"/>
      <c r="Q59"/>
      <c r="R59"/>
      <c r="T59"/>
      <c r="U59"/>
      <c r="V59" s="23"/>
      <c r="W59" s="44"/>
      <c r="X59"/>
      <c r="Y59"/>
    </row>
    <row r="60" spans="1:25" s="5" customFormat="1" x14ac:dyDescent="0.2">
      <c r="A60"/>
      <c r="B60" s="70" t="s">
        <v>424</v>
      </c>
      <c r="C60" s="100"/>
      <c r="D60" s="72">
        <v>4250</v>
      </c>
      <c r="E60"/>
      <c r="F60"/>
      <c r="G60" s="32"/>
      <c r="H60"/>
      <c r="I60"/>
      <c r="J60" s="4"/>
      <c r="K60"/>
      <c r="L60"/>
      <c r="M60"/>
      <c r="N60"/>
      <c r="O60"/>
      <c r="P60"/>
      <c r="Q60"/>
      <c r="R60"/>
      <c r="T60"/>
      <c r="U60"/>
      <c r="V60" s="23"/>
      <c r="W60" s="44"/>
      <c r="X60"/>
      <c r="Y60"/>
    </row>
    <row r="61" spans="1:25" x14ac:dyDescent="0.2">
      <c r="A61" s="101" t="s">
        <v>426</v>
      </c>
      <c r="B61" s="70"/>
      <c r="D61" s="72">
        <f>SUM(D56:D60)</f>
        <v>15550</v>
      </c>
    </row>
    <row r="62" spans="1:25" x14ac:dyDescent="0.2">
      <c r="C62" s="24"/>
    </row>
    <row r="71" spans="1:1" x14ac:dyDescent="0.2">
      <c r="A71" s="21"/>
    </row>
  </sheetData>
  <mergeCells count="16">
    <mergeCell ref="S4:T4"/>
    <mergeCell ref="V4:W4"/>
    <mergeCell ref="G3:H3"/>
    <mergeCell ref="J3:K3"/>
    <mergeCell ref="M3:N3"/>
    <mergeCell ref="P3:Q3"/>
    <mergeCell ref="S3:T3"/>
    <mergeCell ref="V3:W3"/>
    <mergeCell ref="B52:Q52"/>
    <mergeCell ref="B54:Q54"/>
    <mergeCell ref="D3:E3"/>
    <mergeCell ref="D4:E4"/>
    <mergeCell ref="G4:H4"/>
    <mergeCell ref="J4:K4"/>
    <mergeCell ref="M4:N4"/>
    <mergeCell ref="P4:Q4"/>
  </mergeCells>
  <pageMargins left="0.74803149606299213" right="0.74803149606299213" top="0.98425196850393704" bottom="0.78740157480314965" header="0.51181102362204722" footer="0.51181102362204722"/>
  <pageSetup scale="61" orientation="portrait"/>
  <headerFooter alignWithMargins="0">
    <oddFooter>&amp;L&amp;F, &amp;A&amp;R&amp;D</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42"/>
  <sheetViews>
    <sheetView topLeftCell="A3" workbookViewId="0">
      <selection activeCell="G27" sqref="G27"/>
    </sheetView>
  </sheetViews>
  <sheetFormatPr defaultColWidth="8.85546875" defaultRowHeight="12.75" x14ac:dyDescent="0.2"/>
  <cols>
    <col min="1" max="1" width="27.42578125" customWidth="1"/>
    <col min="2" max="4" width="10.28515625" customWidth="1"/>
    <col min="5" max="5" width="9.28515625" customWidth="1"/>
    <col min="6" max="8" width="10.28515625" customWidth="1"/>
    <col min="9" max="9" width="1" style="84" customWidth="1"/>
    <col min="10" max="10" width="10.28515625" customWidth="1"/>
    <col min="11" max="11" width="7.7109375" bestFit="1" customWidth="1"/>
    <col min="12" max="12" width="1.140625" style="84" customWidth="1"/>
    <col min="13" max="13" width="7.7109375" customWidth="1"/>
    <col min="14" max="16" width="10.28515625" customWidth="1"/>
    <col min="17" max="17" width="9.28515625" customWidth="1"/>
  </cols>
  <sheetData>
    <row r="1" spans="1:17" ht="15.75" x14ac:dyDescent="0.25">
      <c r="A1" s="42" t="s">
        <v>370</v>
      </c>
    </row>
    <row r="2" spans="1:17" ht="12" customHeight="1" x14ac:dyDescent="0.2"/>
    <row r="3" spans="1:17" s="12" customFormat="1" ht="132.75" customHeight="1" x14ac:dyDescent="0.2">
      <c r="B3" s="69" t="s">
        <v>291</v>
      </c>
      <c r="C3" s="69" t="s">
        <v>292</v>
      </c>
      <c r="D3" s="69" t="s">
        <v>394</v>
      </c>
      <c r="E3" s="90" t="s">
        <v>372</v>
      </c>
      <c r="F3" s="69" t="s">
        <v>186</v>
      </c>
      <c r="G3" s="69" t="s">
        <v>202</v>
      </c>
      <c r="H3" s="69" t="s">
        <v>405</v>
      </c>
      <c r="I3" s="102"/>
      <c r="J3" s="69" t="s">
        <v>392</v>
      </c>
      <c r="K3" s="69" t="s">
        <v>302</v>
      </c>
      <c r="L3" s="102"/>
      <c r="M3" s="69" t="s">
        <v>190</v>
      </c>
      <c r="N3" s="69" t="s">
        <v>324</v>
      </c>
      <c r="O3" s="69" t="s">
        <v>306</v>
      </c>
    </row>
    <row r="5" spans="1:17" s="20" customFormat="1" x14ac:dyDescent="0.2">
      <c r="A5" s="20" t="s">
        <v>191</v>
      </c>
      <c r="B5" s="39">
        <f>+'kolommenbalans 2015'!B31</f>
        <v>10512.879999999997</v>
      </c>
      <c r="C5" s="39">
        <f>+'kolommenbalans 2015'!C31</f>
        <v>10924.24</v>
      </c>
      <c r="D5" s="39"/>
      <c r="E5" s="39">
        <f>+'kolommenbalans 2015'!D31</f>
        <v>163.28</v>
      </c>
      <c r="F5" s="39">
        <f>+'kolommenbalans 2015'!E31</f>
        <v>-14848.090000000002</v>
      </c>
      <c r="G5" s="39">
        <f>+'kolommenbalans 2015'!F31-H5</f>
        <v>-5500</v>
      </c>
      <c r="H5" s="39">
        <v>-1252.31</v>
      </c>
      <c r="I5" s="83"/>
      <c r="J5" s="39"/>
      <c r="K5" s="39"/>
      <c r="L5" s="83"/>
      <c r="M5" s="39">
        <f>+'kolommenbalans 2014'!K29</f>
        <v>0</v>
      </c>
      <c r="N5" s="39"/>
      <c r="O5" s="39"/>
      <c r="P5" s="39">
        <f>SUM(B5:M5)</f>
        <v>-7.73070496506989E-12</v>
      </c>
      <c r="Q5" s="39">
        <f>SUM(K5:M5)</f>
        <v>0</v>
      </c>
    </row>
    <row r="6" spans="1:17" x14ac:dyDescent="0.2">
      <c r="A6" s="70"/>
      <c r="B6" s="32"/>
      <c r="C6" s="32"/>
      <c r="D6" s="32"/>
      <c r="E6" s="32"/>
      <c r="F6" s="32"/>
      <c r="G6" s="32"/>
      <c r="H6" s="32"/>
      <c r="I6" s="82"/>
      <c r="J6" s="32"/>
      <c r="K6" s="32"/>
      <c r="L6" s="82"/>
      <c r="M6" s="32"/>
      <c r="N6" s="32"/>
      <c r="O6" s="32"/>
      <c r="P6" s="39"/>
      <c r="Q6" s="32"/>
    </row>
    <row r="7" spans="1:17" x14ac:dyDescent="0.2">
      <c r="A7" s="70" t="s">
        <v>294</v>
      </c>
      <c r="B7" s="32">
        <f>-M7</f>
        <v>-27.02</v>
      </c>
      <c r="C7" s="32"/>
      <c r="D7" s="32"/>
      <c r="F7" s="32"/>
      <c r="G7" s="32"/>
      <c r="H7" s="32"/>
      <c r="I7" s="82"/>
      <c r="J7" s="32"/>
      <c r="M7" s="32">
        <v>27.02</v>
      </c>
      <c r="N7" s="32"/>
      <c r="O7" s="32"/>
      <c r="P7" s="39">
        <f>SUM(B7:M7)</f>
        <v>0</v>
      </c>
      <c r="Q7" s="32"/>
    </row>
    <row r="8" spans="1:17" x14ac:dyDescent="0.2">
      <c r="A8" s="70" t="s">
        <v>295</v>
      </c>
      <c r="B8" s="32">
        <f>-E8</f>
        <v>163.28</v>
      </c>
      <c r="C8" s="32"/>
      <c r="D8" s="32"/>
      <c r="E8" s="32">
        <v>-163.28</v>
      </c>
      <c r="F8" s="32"/>
      <c r="G8" s="32"/>
      <c r="H8" s="32"/>
      <c r="I8" s="82"/>
      <c r="J8" s="32"/>
      <c r="K8" s="32"/>
      <c r="L8" s="82"/>
      <c r="M8" s="32"/>
      <c r="N8" s="32"/>
      <c r="O8" s="32"/>
      <c r="P8" s="39">
        <f>SUM(B8:M8)</f>
        <v>0</v>
      </c>
      <c r="Q8" s="32"/>
    </row>
    <row r="9" spans="1:17" x14ac:dyDescent="0.2">
      <c r="A9" s="70" t="s">
        <v>296</v>
      </c>
      <c r="B9" s="32">
        <f>-M9</f>
        <v>-27.75</v>
      </c>
      <c r="C9" s="32"/>
      <c r="D9" s="32"/>
      <c r="F9" s="32"/>
      <c r="G9" s="32"/>
      <c r="H9" s="32"/>
      <c r="I9" s="82"/>
      <c r="J9" s="32"/>
      <c r="M9" s="32">
        <v>27.75</v>
      </c>
      <c r="P9" s="39">
        <f>SUM(B9:O9)</f>
        <v>0</v>
      </c>
      <c r="Q9" s="32"/>
    </row>
    <row r="10" spans="1:17" x14ac:dyDescent="0.2">
      <c r="A10" s="70" t="s">
        <v>297</v>
      </c>
      <c r="B10" s="32">
        <f>+D10-N10-J10</f>
        <v>-9021.66</v>
      </c>
      <c r="C10" s="32"/>
      <c r="D10" s="32">
        <f>2000-10000</f>
        <v>-8000</v>
      </c>
      <c r="E10" s="32"/>
      <c r="F10" s="32"/>
      <c r="G10" s="32"/>
      <c r="H10" s="32"/>
      <c r="I10" s="82"/>
      <c r="J10" s="32">
        <v>-10600</v>
      </c>
      <c r="K10" s="32"/>
      <c r="L10" s="82"/>
      <c r="M10" s="32"/>
      <c r="N10" s="32">
        <v>11621.66</v>
      </c>
      <c r="O10" s="32"/>
      <c r="P10" s="39">
        <f t="shared" ref="P10:P17" si="0">SUM(B10:O10)</f>
        <v>-16000</v>
      </c>
      <c r="Q10" s="32"/>
    </row>
    <row r="11" spans="1:17" x14ac:dyDescent="0.2">
      <c r="A11" s="70" t="s">
        <v>393</v>
      </c>
      <c r="B11" s="32"/>
      <c r="C11" s="32">
        <f>+D11</f>
        <v>8000</v>
      </c>
      <c r="D11" s="32">
        <f>10000-2000</f>
        <v>8000</v>
      </c>
      <c r="E11" s="32"/>
      <c r="F11" s="32"/>
      <c r="G11" s="32"/>
      <c r="H11" s="32"/>
      <c r="I11" s="82"/>
      <c r="J11" s="32"/>
      <c r="K11" s="32"/>
      <c r="L11" s="82"/>
      <c r="M11" s="32"/>
      <c r="N11" s="32"/>
      <c r="O11" s="32"/>
      <c r="P11" s="39">
        <f t="shared" si="0"/>
        <v>16000</v>
      </c>
      <c r="Q11" s="32"/>
    </row>
    <row r="12" spans="1:17" x14ac:dyDescent="0.2">
      <c r="A12" s="70" t="s">
        <v>298</v>
      </c>
      <c r="B12" s="32">
        <f>-M12</f>
        <v>-26.87</v>
      </c>
      <c r="C12" s="32"/>
      <c r="D12" s="32"/>
      <c r="F12" s="32"/>
      <c r="G12" s="32"/>
      <c r="H12" s="32"/>
      <c r="I12" s="82"/>
      <c r="J12" s="32"/>
      <c r="M12" s="32">
        <v>26.87</v>
      </c>
      <c r="N12" s="32"/>
      <c r="P12" s="39">
        <f t="shared" si="0"/>
        <v>0</v>
      </c>
      <c r="Q12" s="32"/>
    </row>
    <row r="13" spans="1:17" x14ac:dyDescent="0.2">
      <c r="A13" s="70" t="s">
        <v>325</v>
      </c>
      <c r="B13" s="32">
        <f>-M13</f>
        <v>-26</v>
      </c>
      <c r="C13" s="32"/>
      <c r="D13" s="32"/>
      <c r="F13" s="32"/>
      <c r="G13" s="32"/>
      <c r="H13" s="32"/>
      <c r="I13" s="82"/>
      <c r="J13" s="32"/>
      <c r="M13" s="32">
        <v>26</v>
      </c>
      <c r="N13" s="32"/>
      <c r="O13" s="32"/>
      <c r="P13" s="39">
        <f t="shared" si="0"/>
        <v>0</v>
      </c>
      <c r="Q13" s="32"/>
    </row>
    <row r="14" spans="1:17" x14ac:dyDescent="0.2">
      <c r="A14" s="70" t="s">
        <v>326</v>
      </c>
      <c r="B14" s="32">
        <f>-D14-M14-N14</f>
        <v>-59.900000000000091</v>
      </c>
      <c r="C14" s="32"/>
      <c r="D14" s="32">
        <v>-3600</v>
      </c>
      <c r="F14" s="32"/>
      <c r="G14" s="32"/>
      <c r="H14" s="32"/>
      <c r="I14" s="82"/>
      <c r="J14" s="32"/>
      <c r="K14" s="32"/>
      <c r="L14" s="82"/>
      <c r="M14" s="32">
        <v>59.9</v>
      </c>
      <c r="N14" s="32">
        <v>3600</v>
      </c>
      <c r="O14" s="32"/>
      <c r="P14" s="39">
        <f t="shared" si="0"/>
        <v>0</v>
      </c>
      <c r="Q14" s="32"/>
    </row>
    <row r="15" spans="1:17" x14ac:dyDescent="0.2">
      <c r="A15" s="70" t="s">
        <v>395</v>
      </c>
      <c r="B15" s="32"/>
      <c r="C15" s="32">
        <f>-D15</f>
        <v>-3600</v>
      </c>
      <c r="D15" s="32">
        <v>3600</v>
      </c>
      <c r="F15" s="32"/>
      <c r="G15" s="32"/>
      <c r="H15" s="32"/>
      <c r="I15" s="82"/>
      <c r="J15" s="32"/>
      <c r="K15" s="32"/>
      <c r="L15" s="82"/>
      <c r="M15" s="32"/>
      <c r="N15" s="32"/>
      <c r="O15" s="32"/>
      <c r="P15" s="39">
        <f t="shared" si="0"/>
        <v>0</v>
      </c>
      <c r="Q15" s="32"/>
    </row>
    <row r="16" spans="1:17" x14ac:dyDescent="0.2">
      <c r="A16" s="70" t="s">
        <v>329</v>
      </c>
      <c r="B16" s="32">
        <f>-J16-N16</f>
        <v>3000</v>
      </c>
      <c r="C16" s="32"/>
      <c r="D16" s="32"/>
      <c r="E16" s="32"/>
      <c r="F16" s="32"/>
      <c r="G16" s="32"/>
      <c r="H16" s="32"/>
      <c r="I16" s="82"/>
      <c r="J16" s="32">
        <v>-7500</v>
      </c>
      <c r="K16" s="32"/>
      <c r="L16" s="82"/>
      <c r="M16" s="32"/>
      <c r="N16" s="32">
        <v>4500</v>
      </c>
      <c r="O16" s="32"/>
      <c r="P16" s="39">
        <f t="shared" si="0"/>
        <v>0</v>
      </c>
      <c r="Q16" s="32"/>
    </row>
    <row r="17" spans="1:17" x14ac:dyDescent="0.2">
      <c r="A17" s="70" t="s">
        <v>371</v>
      </c>
      <c r="B17" s="95"/>
      <c r="C17" s="95">
        <f>-K17</f>
        <v>32.479999999999997</v>
      </c>
      <c r="D17" s="95"/>
      <c r="E17" s="95"/>
      <c r="F17" s="95"/>
      <c r="G17" s="95"/>
      <c r="H17" s="95"/>
      <c r="I17" s="82"/>
      <c r="J17" s="95"/>
      <c r="K17" s="95">
        <v>-32.479999999999997</v>
      </c>
      <c r="L17" s="82"/>
      <c r="M17" s="95"/>
      <c r="N17" s="95"/>
      <c r="O17" s="95"/>
      <c r="P17" s="39">
        <f t="shared" si="0"/>
        <v>0</v>
      </c>
      <c r="Q17" s="95"/>
    </row>
    <row r="18" spans="1:17" x14ac:dyDescent="0.2">
      <c r="B18" s="32"/>
      <c r="C18" s="32"/>
      <c r="D18" s="32"/>
      <c r="E18" s="32"/>
      <c r="F18" s="32"/>
      <c r="G18" s="32"/>
      <c r="H18" s="32"/>
      <c r="I18" s="82"/>
      <c r="J18" s="32"/>
      <c r="K18" s="32"/>
      <c r="L18" s="82"/>
      <c r="M18" s="32"/>
      <c r="N18" s="32"/>
      <c r="O18" s="32"/>
      <c r="P18" s="32"/>
      <c r="Q18" s="32"/>
    </row>
    <row r="19" spans="1:17" s="20" customFormat="1" x14ac:dyDescent="0.2">
      <c r="A19" s="20" t="s">
        <v>203</v>
      </c>
      <c r="B19" s="39">
        <f>SUM(B5:B17)</f>
        <v>4486.9599999999973</v>
      </c>
      <c r="C19" s="39">
        <f>SUM(C5:C17)</f>
        <v>15356.719999999998</v>
      </c>
      <c r="D19" s="39">
        <f>SUM(D5:D17)</f>
        <v>0</v>
      </c>
      <c r="E19" s="39">
        <f>SUM(E5:E17)</f>
        <v>0</v>
      </c>
      <c r="F19" s="39">
        <f t="shared" ref="F19:O19" si="1">SUM(F5:F17)</f>
        <v>-14848.090000000002</v>
      </c>
      <c r="G19" s="39">
        <f t="shared" si="1"/>
        <v>-5500</v>
      </c>
      <c r="H19" s="39">
        <f t="shared" si="1"/>
        <v>-1252.31</v>
      </c>
      <c r="I19" s="83"/>
      <c r="J19" s="39">
        <f>SUM(J5:J17)</f>
        <v>-18100</v>
      </c>
      <c r="K19" s="39">
        <f t="shared" si="1"/>
        <v>-32.479999999999997</v>
      </c>
      <c r="L19" s="83"/>
      <c r="M19" s="39">
        <f t="shared" si="1"/>
        <v>167.54</v>
      </c>
      <c r="N19" s="39">
        <f t="shared" si="1"/>
        <v>19721.66</v>
      </c>
      <c r="O19" s="39">
        <f t="shared" si="1"/>
        <v>0</v>
      </c>
      <c r="P19" s="39">
        <f>SUM(B19:N19)</f>
        <v>0</v>
      </c>
      <c r="Q19" s="39"/>
    </row>
    <row r="20" spans="1:17" s="20" customFormat="1" x14ac:dyDescent="0.2">
      <c r="B20" s="39"/>
      <c r="C20" s="39"/>
      <c r="D20" s="39"/>
      <c r="E20" s="39"/>
      <c r="F20" s="39"/>
      <c r="G20" s="39"/>
      <c r="H20" s="39"/>
      <c r="I20" s="83"/>
      <c r="J20" s="39"/>
      <c r="K20" s="39"/>
      <c r="L20" s="83"/>
      <c r="M20" s="39"/>
      <c r="N20" s="39"/>
      <c r="O20" s="39"/>
      <c r="P20" s="39"/>
      <c r="Q20" s="39"/>
    </row>
    <row r="21" spans="1:17" x14ac:dyDescent="0.2">
      <c r="A21" s="20" t="s">
        <v>199</v>
      </c>
      <c r="B21" s="32"/>
      <c r="C21" s="32"/>
      <c r="D21" s="32"/>
      <c r="E21" s="32"/>
      <c r="F21" s="32"/>
      <c r="G21" s="32"/>
      <c r="H21" s="32"/>
      <c r="I21" s="82"/>
      <c r="J21" s="32"/>
      <c r="K21" s="32"/>
      <c r="L21" s="82"/>
      <c r="M21" s="32"/>
      <c r="N21" s="32"/>
      <c r="O21" s="32"/>
      <c r="P21" s="32"/>
      <c r="Q21" s="32"/>
    </row>
    <row r="22" spans="1:17" x14ac:dyDescent="0.2">
      <c r="A22" s="70" t="s">
        <v>396</v>
      </c>
      <c r="B22" s="32"/>
      <c r="C22" s="32"/>
      <c r="D22" s="32"/>
      <c r="E22" s="32"/>
      <c r="F22" s="32"/>
      <c r="G22" s="32"/>
      <c r="H22" s="32"/>
      <c r="I22" s="82"/>
      <c r="J22" s="32">
        <v>-167</v>
      </c>
      <c r="K22" s="32"/>
      <c r="L22" s="82"/>
      <c r="M22" s="32">
        <v>167</v>
      </c>
      <c r="N22" s="32"/>
      <c r="O22" s="32"/>
      <c r="P22" s="32"/>
      <c r="Q22" s="32"/>
    </row>
    <row r="23" spans="1:17" x14ac:dyDescent="0.2">
      <c r="A23" s="70" t="s">
        <v>219</v>
      </c>
      <c r="B23" s="32"/>
      <c r="C23" s="32"/>
      <c r="D23" s="32"/>
      <c r="E23" s="72">
        <f>+M19</f>
        <v>167.54</v>
      </c>
      <c r="F23" s="32"/>
      <c r="G23" s="32"/>
      <c r="H23" s="32"/>
      <c r="I23" s="82"/>
      <c r="J23" s="32">
        <f>-E23</f>
        <v>-167.54</v>
      </c>
      <c r="K23" s="32"/>
      <c r="L23" s="82"/>
      <c r="N23" s="32"/>
      <c r="O23" s="32"/>
      <c r="P23" s="32">
        <f>SUM(B23:O23)</f>
        <v>0</v>
      </c>
      <c r="Q23" s="32"/>
    </row>
    <row r="24" spans="1:17" x14ac:dyDescent="0.2">
      <c r="A24" s="70" t="s">
        <v>398</v>
      </c>
      <c r="B24" s="32"/>
      <c r="C24" s="32"/>
      <c r="D24" s="32"/>
      <c r="F24" s="32"/>
      <c r="G24" s="32">
        <v>2500</v>
      </c>
      <c r="H24" s="32"/>
      <c r="I24" s="82"/>
      <c r="K24" s="32"/>
      <c r="L24" s="82"/>
      <c r="M24" s="32"/>
      <c r="N24" s="32"/>
      <c r="O24" s="32">
        <f>-G24</f>
        <v>-2500</v>
      </c>
      <c r="P24" s="32"/>
      <c r="Q24" s="32"/>
    </row>
    <row r="25" spans="1:17" x14ac:dyDescent="0.2">
      <c r="A25" s="70" t="s">
        <v>397</v>
      </c>
      <c r="B25" s="32"/>
      <c r="C25" s="32"/>
      <c r="D25" s="32"/>
      <c r="F25" s="32"/>
      <c r="G25" s="32"/>
      <c r="H25" s="32">
        <f>(+N10+J10)</f>
        <v>1021.6599999999999</v>
      </c>
      <c r="I25" s="82"/>
      <c r="J25" s="32"/>
      <c r="K25" s="32"/>
      <c r="L25" s="82"/>
      <c r="M25" s="32"/>
      <c r="N25" s="47">
        <f>-H25</f>
        <v>-1021.6599999999999</v>
      </c>
      <c r="O25" s="32">
        <f>-G25</f>
        <v>0</v>
      </c>
      <c r="P25" s="32">
        <f>SUM(B25:O25)</f>
        <v>0</v>
      </c>
      <c r="Q25" s="32"/>
    </row>
    <row r="26" spans="1:17" x14ac:dyDescent="0.2">
      <c r="A26" s="70" t="s">
        <v>429</v>
      </c>
      <c r="B26" s="32"/>
      <c r="C26" s="32"/>
      <c r="D26" s="32"/>
      <c r="F26" s="32"/>
      <c r="G26" s="32">
        <f>-5*12*80</f>
        <v>-4800</v>
      </c>
      <c r="H26" s="32"/>
      <c r="I26" s="82"/>
      <c r="J26" s="32"/>
      <c r="K26" s="32"/>
      <c r="L26" s="82"/>
      <c r="M26" s="32"/>
      <c r="N26" s="47"/>
      <c r="O26" s="32">
        <f>5*12*80</f>
        <v>4800</v>
      </c>
      <c r="P26" s="32"/>
      <c r="Q26" s="32"/>
    </row>
    <row r="27" spans="1:17" x14ac:dyDescent="0.2">
      <c r="A27" s="70" t="s">
        <v>387</v>
      </c>
      <c r="B27" s="32"/>
      <c r="C27" s="32"/>
      <c r="D27" s="32"/>
      <c r="E27" s="32"/>
      <c r="F27" s="32"/>
      <c r="G27" s="32">
        <f>-7750</f>
        <v>-7750</v>
      </c>
      <c r="H27" s="32"/>
      <c r="I27" s="82"/>
      <c r="J27" s="32"/>
      <c r="K27" s="32"/>
      <c r="L27" s="82"/>
      <c r="M27" s="32"/>
      <c r="O27" s="32">
        <f>-G27</f>
        <v>7750</v>
      </c>
      <c r="P27" s="32">
        <f>SUM(B27:O27)</f>
        <v>0</v>
      </c>
      <c r="Q27" s="32"/>
    </row>
    <row r="28" spans="1:17" x14ac:dyDescent="0.2">
      <c r="A28" s="70" t="s">
        <v>363</v>
      </c>
      <c r="B28" s="32"/>
      <c r="C28" s="32"/>
      <c r="D28" s="32"/>
      <c r="E28" s="32"/>
      <c r="O28" s="32"/>
      <c r="P28" s="32">
        <f>SUM(B28:M28)</f>
        <v>0</v>
      </c>
      <c r="Q28" s="32"/>
    </row>
    <row r="29" spans="1:17" x14ac:dyDescent="0.2">
      <c r="B29" s="32"/>
      <c r="C29" s="32"/>
      <c r="D29" s="32"/>
      <c r="E29" s="32"/>
      <c r="F29" s="32"/>
      <c r="G29" s="32"/>
      <c r="H29" s="32"/>
      <c r="I29" s="82"/>
      <c r="J29" s="32"/>
      <c r="K29" s="32"/>
      <c r="L29" s="82"/>
      <c r="M29" s="32"/>
      <c r="N29" s="32"/>
      <c r="O29" s="32"/>
      <c r="P29" s="32"/>
      <c r="Q29" s="32"/>
    </row>
    <row r="30" spans="1:17" s="20" customFormat="1" x14ac:dyDescent="0.2">
      <c r="A30" s="20" t="s">
        <v>194</v>
      </c>
      <c r="B30" s="39">
        <f t="shared" ref="B30:H30" si="2">+SUM(B19:B29)</f>
        <v>4486.9599999999973</v>
      </c>
      <c r="C30" s="39">
        <f t="shared" si="2"/>
        <v>15356.719999999998</v>
      </c>
      <c r="D30" s="39">
        <f t="shared" si="2"/>
        <v>0</v>
      </c>
      <c r="E30" s="39">
        <f t="shared" si="2"/>
        <v>167.54</v>
      </c>
      <c r="F30" s="39">
        <f t="shared" si="2"/>
        <v>-14848.090000000002</v>
      </c>
      <c r="G30" s="39">
        <f>+SUM(G19:G29)</f>
        <v>-15550</v>
      </c>
      <c r="H30" s="39">
        <f t="shared" si="2"/>
        <v>-230.65000000000009</v>
      </c>
      <c r="I30" s="83"/>
      <c r="J30" s="39">
        <f>+SUM(J19:J29)</f>
        <v>-18434.54</v>
      </c>
      <c r="K30" s="39">
        <f>+SUM(K19:K29)</f>
        <v>-32.479999999999997</v>
      </c>
      <c r="L30" s="83"/>
      <c r="M30" s="39">
        <f>+SUM(M19:M29)</f>
        <v>334.53999999999996</v>
      </c>
      <c r="N30" s="39">
        <f>+SUM(N19:N29)</f>
        <v>18700</v>
      </c>
      <c r="O30" s="39">
        <f>+SUM(O19:O29)</f>
        <v>10050</v>
      </c>
      <c r="P30" s="39">
        <f>SUM(B30:H30)-SUM(J30:K30)+SUM(M30:O30)</f>
        <v>36934.039999999994</v>
      </c>
      <c r="Q30" s="39"/>
    </row>
    <row r="31" spans="1:17" x14ac:dyDescent="0.2">
      <c r="B31" s="32"/>
      <c r="C31" s="32"/>
      <c r="D31" s="32"/>
      <c r="E31" s="32"/>
      <c r="F31" s="32"/>
      <c r="G31" s="32"/>
      <c r="H31" s="32"/>
      <c r="I31" s="82"/>
      <c r="J31" s="32"/>
      <c r="K31" s="32"/>
      <c r="L31" s="82"/>
      <c r="M31" s="32"/>
      <c r="N31" s="32"/>
      <c r="O31" s="32"/>
      <c r="P31" s="32"/>
      <c r="Q31" s="32"/>
    </row>
    <row r="32" spans="1:17" s="20" customFormat="1" x14ac:dyDescent="0.2">
      <c r="A32" s="20" t="s">
        <v>430</v>
      </c>
      <c r="B32" s="39"/>
      <c r="C32" s="39"/>
      <c r="D32" s="39"/>
      <c r="F32" s="32">
        <f>+SUM(J32:K32)+SUM(M32:O32)</f>
        <v>-10617.52</v>
      </c>
      <c r="G32" s="32"/>
      <c r="H32" s="32"/>
      <c r="I32" s="82"/>
      <c r="J32" s="32">
        <f>-J30</f>
        <v>18434.54</v>
      </c>
      <c r="K32" s="32">
        <f>-K19</f>
        <v>32.479999999999997</v>
      </c>
      <c r="L32" s="82"/>
      <c r="M32" s="32">
        <f>-M30</f>
        <v>-334.53999999999996</v>
      </c>
      <c r="N32" s="32">
        <f>-N30</f>
        <v>-18700</v>
      </c>
      <c r="O32" s="72">
        <f>-O30</f>
        <v>-10050</v>
      </c>
      <c r="P32" s="39"/>
      <c r="Q32" s="39"/>
    </row>
    <row r="33" spans="1:17" x14ac:dyDescent="0.2">
      <c r="B33" s="32"/>
      <c r="C33" s="32"/>
      <c r="D33" s="32"/>
      <c r="E33" s="32"/>
      <c r="F33" s="32"/>
      <c r="G33" s="32"/>
      <c r="H33" s="32"/>
      <c r="I33" s="82"/>
      <c r="J33" s="32"/>
      <c r="K33" s="32"/>
      <c r="L33" s="82"/>
      <c r="M33" s="32"/>
      <c r="N33" s="32"/>
      <c r="O33" s="32"/>
      <c r="P33" s="32"/>
      <c r="Q33" s="32"/>
    </row>
    <row r="34" spans="1:17" s="20" customFormat="1" x14ac:dyDescent="0.2">
      <c r="A34" s="20" t="s">
        <v>240</v>
      </c>
      <c r="B34" s="39">
        <f>+B30+B32</f>
        <v>4486.9599999999973</v>
      </c>
      <c r="C34" s="39">
        <f>+C30+C32</f>
        <v>15356.719999999998</v>
      </c>
      <c r="D34" s="39"/>
      <c r="E34" s="39">
        <f>+E30+E32</f>
        <v>167.54</v>
      </c>
      <c r="F34" s="39">
        <f>+F30-F32</f>
        <v>-4230.5700000000015</v>
      </c>
      <c r="G34" s="39">
        <f t="shared" ref="G34:O34" si="3">+G30+G32</f>
        <v>-15550</v>
      </c>
      <c r="H34" s="39">
        <f t="shared" si="3"/>
        <v>-230.65000000000009</v>
      </c>
      <c r="I34" s="83"/>
      <c r="J34" s="39">
        <f t="shared" si="3"/>
        <v>0</v>
      </c>
      <c r="K34" s="39">
        <f t="shared" si="3"/>
        <v>0</v>
      </c>
      <c r="L34" s="83"/>
      <c r="M34" s="39">
        <f t="shared" si="3"/>
        <v>0</v>
      </c>
      <c r="N34" s="39">
        <f t="shared" si="3"/>
        <v>0</v>
      </c>
      <c r="O34" s="39">
        <f t="shared" si="3"/>
        <v>0</v>
      </c>
      <c r="P34" s="39">
        <f>SUM(B34:H34)</f>
        <v>-7.73070496506989E-12</v>
      </c>
      <c r="Q34" s="39"/>
    </row>
    <row r="42" spans="1:17" x14ac:dyDescent="0.2">
      <c r="H42" s="32"/>
      <c r="I42" s="82"/>
    </row>
  </sheetData>
  <pageMargins left="0.74803149606299213" right="0.74803149606299213" top="0.98425196850393704" bottom="0.98425196850393704" header="0.51181102362204722" footer="0.51181102362204722"/>
  <pageSetup scale="83" orientation="landscape"/>
  <headerFooter alignWithMargins="0">
    <oddFooter>&amp;L&amp;F, &amp;A&amp;R&amp;D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41"/>
  <sheetViews>
    <sheetView topLeftCell="A7" zoomScaleNormal="100" workbookViewId="0">
      <selection activeCell="C37" sqref="C37"/>
    </sheetView>
  </sheetViews>
  <sheetFormatPr defaultColWidth="8.85546875" defaultRowHeight="12.75" x14ac:dyDescent="0.2"/>
  <cols>
    <col min="1" max="1" width="9.28515625" customWidth="1"/>
    <col min="2" max="2" width="58.42578125" customWidth="1"/>
    <col min="3" max="3" width="14" style="44" customWidth="1"/>
  </cols>
  <sheetData>
    <row r="1" spans="1:3" s="42" customFormat="1" ht="15.75" x14ac:dyDescent="0.25">
      <c r="A1" s="42" t="s">
        <v>400</v>
      </c>
      <c r="C1" s="43"/>
    </row>
    <row r="3" spans="1:3" x14ac:dyDescent="0.2">
      <c r="A3" s="20" t="s">
        <v>399</v>
      </c>
      <c r="C3" s="33" t="s">
        <v>73</v>
      </c>
    </row>
    <row r="4" spans="1:3" x14ac:dyDescent="0.2">
      <c r="A4" s="70" t="s">
        <v>336</v>
      </c>
      <c r="C4" s="44">
        <f>+'kolommenbalans 2016'!M7</f>
        <v>27.02</v>
      </c>
    </row>
    <row r="5" spans="1:3" x14ac:dyDescent="0.2">
      <c r="A5" t="s">
        <v>77</v>
      </c>
    </row>
    <row r="6" spans="1:3" x14ac:dyDescent="0.2">
      <c r="A6" s="70" t="s">
        <v>373</v>
      </c>
      <c r="C6" s="44">
        <v>27.75</v>
      </c>
    </row>
    <row r="7" spans="1:3" x14ac:dyDescent="0.2">
      <c r="A7" t="s">
        <v>77</v>
      </c>
    </row>
    <row r="8" spans="1:3" x14ac:dyDescent="0.2">
      <c r="A8" s="70" t="s">
        <v>374</v>
      </c>
      <c r="C8" s="44">
        <v>26.87</v>
      </c>
    </row>
    <row r="9" spans="1:3" x14ac:dyDescent="0.2">
      <c r="A9" t="s">
        <v>77</v>
      </c>
    </row>
    <row r="10" spans="1:3" x14ac:dyDescent="0.2">
      <c r="A10" s="70" t="s">
        <v>375</v>
      </c>
      <c r="C10" s="44">
        <v>26</v>
      </c>
    </row>
    <row r="11" spans="1:3" x14ac:dyDescent="0.2">
      <c r="A11" t="s">
        <v>77</v>
      </c>
    </row>
    <row r="12" spans="1:3" x14ac:dyDescent="0.2">
      <c r="A12" s="70" t="s">
        <v>269</v>
      </c>
      <c r="C12" s="44">
        <v>59.9</v>
      </c>
    </row>
    <row r="13" spans="1:3" x14ac:dyDescent="0.2">
      <c r="A13" t="s">
        <v>77</v>
      </c>
    </row>
    <row r="14" spans="1:3" x14ac:dyDescent="0.2">
      <c r="A14" s="20" t="s">
        <v>401</v>
      </c>
      <c r="C14" s="39">
        <f>SUM(C4:C13)</f>
        <v>167.54</v>
      </c>
    </row>
    <row r="15" spans="1:3" x14ac:dyDescent="0.2">
      <c r="A15" s="20" t="s">
        <v>386</v>
      </c>
    </row>
    <row r="17" spans="1:3" x14ac:dyDescent="0.2">
      <c r="A17" s="20" t="s">
        <v>339</v>
      </c>
      <c r="C17" s="39">
        <f>13000-11747.69+10600-11621.66</f>
        <v>230.64999999999964</v>
      </c>
    </row>
    <row r="18" spans="1:3" s="20" customFormat="1" x14ac:dyDescent="0.2">
      <c r="A18" s="70" t="s">
        <v>402</v>
      </c>
      <c r="C18" s="39"/>
    </row>
    <row r="19" spans="1:3" s="20" customFormat="1" x14ac:dyDescent="0.2">
      <c r="C19" s="39"/>
    </row>
    <row r="20" spans="1:3" s="20" customFormat="1" x14ac:dyDescent="0.2">
      <c r="A20" s="20" t="s">
        <v>376</v>
      </c>
    </row>
    <row r="21" spans="1:3" x14ac:dyDescent="0.2">
      <c r="A21" s="91">
        <v>42686</v>
      </c>
      <c r="B21" s="70" t="s">
        <v>379</v>
      </c>
      <c r="C21" s="44">
        <v>100</v>
      </c>
    </row>
    <row r="22" spans="1:3" x14ac:dyDescent="0.2">
      <c r="A22" s="91"/>
      <c r="B22" s="70" t="s">
        <v>382</v>
      </c>
      <c r="C22" s="44">
        <v>67</v>
      </c>
    </row>
    <row r="23" spans="1:3" x14ac:dyDescent="0.2">
      <c r="A23" s="92">
        <v>42721</v>
      </c>
      <c r="B23" s="70" t="s">
        <v>380</v>
      </c>
      <c r="C23" s="93" t="s">
        <v>381</v>
      </c>
    </row>
    <row r="24" spans="1:3" x14ac:dyDescent="0.2">
      <c r="C24" s="39">
        <f ca="1">SUM(C21:C24)</f>
        <v>167</v>
      </c>
    </row>
    <row r="26" spans="1:3" x14ac:dyDescent="0.2">
      <c r="A26" s="20" t="s">
        <v>403</v>
      </c>
    </row>
    <row r="27" spans="1:3" x14ac:dyDescent="0.2">
      <c r="A27" s="70" t="s">
        <v>378</v>
      </c>
      <c r="C27" s="39">
        <f>5*12*80</f>
        <v>4800</v>
      </c>
    </row>
    <row r="28" spans="1:3" x14ac:dyDescent="0.2">
      <c r="A28" s="70" t="s">
        <v>377</v>
      </c>
    </row>
    <row r="30" spans="1:3" x14ac:dyDescent="0.2">
      <c r="A30" s="20" t="s">
        <v>404</v>
      </c>
    </row>
    <row r="31" spans="1:3" x14ac:dyDescent="0.2">
      <c r="A31" s="70" t="s">
        <v>383</v>
      </c>
      <c r="C31" s="44">
        <v>3500</v>
      </c>
    </row>
    <row r="32" spans="1:3" x14ac:dyDescent="0.2">
      <c r="A32" s="70" t="s">
        <v>384</v>
      </c>
      <c r="C32" s="44">
        <v>4250</v>
      </c>
    </row>
    <row r="33" spans="1:3" x14ac:dyDescent="0.2">
      <c r="A33" s="70" t="s">
        <v>385</v>
      </c>
      <c r="C33" s="94" t="s">
        <v>42</v>
      </c>
    </row>
    <row r="34" spans="1:3" x14ac:dyDescent="0.2">
      <c r="C34" s="39">
        <f>SUM(C31:C33)</f>
        <v>7750</v>
      </c>
    </row>
    <row r="36" spans="1:3" x14ac:dyDescent="0.2">
      <c r="A36" s="70" t="s">
        <v>410</v>
      </c>
    </row>
    <row r="37" spans="1:3" x14ac:dyDescent="0.2">
      <c r="B37" s="70" t="s">
        <v>406</v>
      </c>
      <c r="C37" s="44">
        <v>3000</v>
      </c>
    </row>
    <row r="38" spans="1:3" x14ac:dyDescent="0.2">
      <c r="B38" s="70" t="s">
        <v>407</v>
      </c>
      <c r="C38" s="44">
        <v>2500</v>
      </c>
    </row>
    <row r="39" spans="1:3" x14ac:dyDescent="0.2">
      <c r="B39" s="70" t="s">
        <v>408</v>
      </c>
      <c r="C39" s="39">
        <v>5500</v>
      </c>
    </row>
    <row r="40" spans="1:3" x14ac:dyDescent="0.2">
      <c r="A40" s="70" t="s">
        <v>411</v>
      </c>
    </row>
    <row r="41" spans="1:3" x14ac:dyDescent="0.2">
      <c r="A41" s="70" t="s">
        <v>412</v>
      </c>
      <c r="C41" s="44">
        <v>2500</v>
      </c>
    </row>
  </sheetData>
  <pageMargins left="0.74803149606299213" right="0.74803149606299213" top="0.98425196850393704" bottom="0.98425196850393704" header="0.51181102362204722" footer="0.51181102362204722"/>
  <pageSetup paperSize="9" orientation="portrait"/>
  <headerFooter alignWithMargins="0">
    <oddFooter>&amp;L&amp;F, &amp;A&amp;R&amp;D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Z30"/>
  <sheetViews>
    <sheetView zoomScaleNormal="100" workbookViewId="0">
      <selection activeCell="D18" sqref="D18"/>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6" max="16" width="9.140625" style="4" customWidth="1"/>
    <col min="18" max="18" width="2.42578125" customWidth="1"/>
    <col min="21" max="21" width="2.42578125" customWidth="1"/>
  </cols>
  <sheetData>
    <row r="1" spans="1:23" ht="20.25" x14ac:dyDescent="0.3">
      <c r="A1" s="10" t="s">
        <v>69</v>
      </c>
    </row>
    <row r="3" spans="1:23" x14ac:dyDescent="0.2">
      <c r="D3" s="264">
        <v>42369</v>
      </c>
      <c r="E3" s="264"/>
      <c r="G3" s="264">
        <v>42004</v>
      </c>
      <c r="H3" s="264"/>
      <c r="J3" s="264">
        <v>41639</v>
      </c>
      <c r="K3" s="264"/>
      <c r="M3" s="264">
        <v>41274</v>
      </c>
      <c r="N3" s="264"/>
      <c r="P3" s="264">
        <v>40908</v>
      </c>
      <c r="Q3" s="264"/>
      <c r="S3" s="264">
        <v>40543</v>
      </c>
      <c r="T3" s="264"/>
      <c r="U3" s="34"/>
      <c r="V3" s="264">
        <v>40178</v>
      </c>
      <c r="W3" s="264"/>
    </row>
    <row r="4" spans="1:23" x14ac:dyDescent="0.2">
      <c r="D4" s="248" t="s">
        <v>73</v>
      </c>
      <c r="E4" s="248"/>
      <c r="G4" s="248" t="s">
        <v>73</v>
      </c>
      <c r="H4" s="248"/>
      <c r="J4" s="248" t="s">
        <v>73</v>
      </c>
      <c r="K4" s="248"/>
      <c r="M4" s="248" t="s">
        <v>73</v>
      </c>
      <c r="N4" s="248"/>
      <c r="P4" s="248" t="s">
        <v>73</v>
      </c>
      <c r="Q4" s="248"/>
      <c r="S4" s="248" t="s">
        <v>73</v>
      </c>
      <c r="T4" s="248"/>
      <c r="U4" s="35"/>
      <c r="V4" s="248" t="s">
        <v>73</v>
      </c>
      <c r="W4" s="248"/>
    </row>
    <row r="5" spans="1:23" ht="15.75" x14ac:dyDescent="0.25">
      <c r="A5" s="2" t="s">
        <v>21</v>
      </c>
      <c r="E5" s="8"/>
      <c r="H5" s="8"/>
      <c r="K5" s="8"/>
      <c r="N5" s="8"/>
      <c r="Q5" s="8"/>
      <c r="S5" s="5"/>
      <c r="T5" s="8"/>
      <c r="U5" s="7"/>
      <c r="V5" s="5"/>
      <c r="W5" s="8"/>
    </row>
    <row r="6" spans="1:23" s="12" customFormat="1" ht="19.5" customHeight="1" x14ac:dyDescent="0.2">
      <c r="A6" s="11" t="s">
        <v>23</v>
      </c>
      <c r="D6" s="68"/>
      <c r="E6" s="14"/>
      <c r="G6" s="68"/>
      <c r="H6" s="14"/>
      <c r="J6" s="68"/>
      <c r="K6" s="14"/>
      <c r="M6" s="68"/>
      <c r="N6" s="14"/>
      <c r="P6" s="68"/>
      <c r="Q6" s="14"/>
      <c r="S6" s="13"/>
      <c r="T6" s="14"/>
      <c r="U6" s="36"/>
      <c r="V6" s="13"/>
      <c r="W6" s="14"/>
    </row>
    <row r="7" spans="1:23" x14ac:dyDescent="0.2">
      <c r="A7" t="s">
        <v>25</v>
      </c>
      <c r="E7" s="8">
        <v>0</v>
      </c>
      <c r="H7" s="8">
        <v>0</v>
      </c>
      <c r="K7" s="8">
        <v>0</v>
      </c>
      <c r="N7" s="8">
        <v>0</v>
      </c>
      <c r="Q7" s="8">
        <v>0</v>
      </c>
      <c r="S7" s="5"/>
      <c r="T7" s="8">
        <v>0</v>
      </c>
      <c r="U7" s="7"/>
      <c r="V7" s="5"/>
      <c r="W7" s="8">
        <v>0</v>
      </c>
    </row>
    <row r="8" spans="1:23" x14ac:dyDescent="0.2">
      <c r="E8" s="8"/>
      <c r="H8" s="8"/>
      <c r="K8" s="8"/>
      <c r="N8" s="8"/>
      <c r="Q8" s="8"/>
      <c r="S8" s="5"/>
      <c r="T8" s="8"/>
      <c r="U8" s="7"/>
      <c r="V8" s="5"/>
      <c r="W8" s="8"/>
    </row>
    <row r="9" spans="1:23" s="12" customFormat="1" ht="19.5" customHeight="1" x14ac:dyDescent="0.2">
      <c r="A9" s="11" t="s">
        <v>24</v>
      </c>
      <c r="D9" s="68"/>
      <c r="E9" s="14"/>
      <c r="G9" s="68"/>
      <c r="H9" s="14"/>
      <c r="J9" s="68"/>
      <c r="K9" s="14"/>
      <c r="M9" s="68"/>
      <c r="N9" s="14"/>
      <c r="P9" s="68"/>
      <c r="Q9" s="14"/>
      <c r="S9" s="13"/>
      <c r="T9" s="14"/>
      <c r="U9" s="36"/>
      <c r="V9" s="13"/>
      <c r="W9" s="14"/>
    </row>
    <row r="10" spans="1:23" x14ac:dyDescent="0.2">
      <c r="A10" t="s">
        <v>26</v>
      </c>
      <c r="D10" s="4">
        <f>+'kolommenbalans 2015'!D31</f>
        <v>163.28</v>
      </c>
      <c r="E10" s="15"/>
      <c r="G10" s="4">
        <f>+'kolommenbalans 2014'!E29</f>
        <v>112.35</v>
      </c>
      <c r="H10" s="15"/>
      <c r="J10" s="4">
        <v>99.669999999999987</v>
      </c>
      <c r="K10" s="15"/>
      <c r="M10" s="4">
        <v>62.07</v>
      </c>
      <c r="N10" s="15"/>
      <c r="P10" s="4">
        <v>69.2</v>
      </c>
      <c r="Q10" s="15"/>
      <c r="S10" s="5">
        <v>0</v>
      </c>
      <c r="T10" s="15"/>
      <c r="U10" s="26"/>
      <c r="V10" s="5">
        <v>0</v>
      </c>
      <c r="W10" s="15"/>
    </row>
    <row r="11" spans="1:23" ht="13.5" thickBot="1" x14ac:dyDescent="0.25">
      <c r="A11" t="s">
        <v>304</v>
      </c>
      <c r="D11" s="9">
        <f>+'kolommenbalans 2015'!B18+'kolommenbalans 2015'!C18</f>
        <v>21437.119999999995</v>
      </c>
      <c r="E11" s="8"/>
      <c r="G11" s="9">
        <f>+'kolommenbalans 2014'!C29+'kolommenbalans 2014'!D29</f>
        <v>18681.909999999996</v>
      </c>
      <c r="H11" s="8"/>
      <c r="J11" s="9">
        <v>18624.18</v>
      </c>
      <c r="K11" s="8"/>
      <c r="M11" s="9">
        <v>11168.810000000001</v>
      </c>
      <c r="N11" s="8"/>
      <c r="P11" s="9">
        <v>10533.65</v>
      </c>
      <c r="Q11" s="8"/>
      <c r="S11" s="6">
        <v>6086.88</v>
      </c>
      <c r="T11" s="8"/>
      <c r="U11" s="7"/>
      <c r="V11" s="6">
        <v>635.5</v>
      </c>
      <c r="W11" s="8"/>
    </row>
    <row r="12" spans="1:23" ht="13.5" thickBot="1" x14ac:dyDescent="0.25">
      <c r="E12" s="16">
        <f>+D11+D10</f>
        <v>21600.399999999994</v>
      </c>
      <c r="H12" s="16">
        <f>+G11+G10</f>
        <v>18794.259999999995</v>
      </c>
      <c r="K12" s="16">
        <v>18723.849999999999</v>
      </c>
      <c r="N12" s="16">
        <v>11230.880000000001</v>
      </c>
      <c r="Q12" s="16">
        <v>10602.85</v>
      </c>
      <c r="S12" s="5"/>
      <c r="T12" s="16">
        <v>6086.88</v>
      </c>
      <c r="U12" s="7"/>
      <c r="V12" s="5"/>
      <c r="W12" s="16">
        <v>635.5</v>
      </c>
    </row>
    <row r="13" spans="1:23" ht="19.5" customHeight="1" x14ac:dyDescent="0.2">
      <c r="A13" s="3"/>
      <c r="C13" s="29" t="s">
        <v>55</v>
      </c>
      <c r="D13" s="30"/>
      <c r="E13" s="18">
        <f>+E12+E7</f>
        <v>21600.399999999994</v>
      </c>
      <c r="F13" s="29"/>
      <c r="G13" s="30"/>
      <c r="H13" s="18">
        <f>+H12+H7</f>
        <v>18794.259999999995</v>
      </c>
      <c r="I13" s="29"/>
      <c r="J13" s="30"/>
      <c r="K13" s="18">
        <v>18723.849999999999</v>
      </c>
      <c r="L13" s="29"/>
      <c r="M13" s="30"/>
      <c r="N13" s="18">
        <v>11230.880000000001</v>
      </c>
      <c r="O13" s="29"/>
      <c r="P13" s="30"/>
      <c r="Q13" s="18">
        <v>10602.85</v>
      </c>
      <c r="R13" s="29"/>
      <c r="S13" s="7"/>
      <c r="T13" s="18">
        <v>6086.88</v>
      </c>
      <c r="U13" s="37"/>
      <c r="V13" s="7"/>
      <c r="W13" s="18">
        <v>635.5</v>
      </c>
    </row>
    <row r="14" spans="1:23" x14ac:dyDescent="0.2">
      <c r="E14" s="8"/>
      <c r="H14" s="8"/>
      <c r="K14" s="8"/>
      <c r="N14" s="8"/>
      <c r="Q14" s="8"/>
      <c r="S14" s="5"/>
      <c r="T14" s="8"/>
      <c r="U14" s="7"/>
      <c r="V14" s="5"/>
      <c r="W14" s="8"/>
    </row>
    <row r="15" spans="1:23" ht="15.75" x14ac:dyDescent="0.25">
      <c r="A15" s="2" t="s">
        <v>22</v>
      </c>
      <c r="E15" s="8"/>
      <c r="H15" s="8"/>
      <c r="K15" s="8"/>
      <c r="N15" s="8"/>
      <c r="Q15" s="8"/>
      <c r="S15" s="5"/>
      <c r="T15" s="8"/>
      <c r="U15" s="7"/>
      <c r="V15" s="5"/>
      <c r="W15" s="8"/>
    </row>
    <row r="16" spans="1:23" ht="19.5" customHeight="1" x14ac:dyDescent="0.2">
      <c r="A16" s="11" t="s">
        <v>29</v>
      </c>
      <c r="E16" s="8"/>
      <c r="H16" s="8"/>
      <c r="K16" s="8"/>
      <c r="N16" s="8"/>
      <c r="Q16" s="8"/>
      <c r="S16" s="5"/>
      <c r="T16" s="8"/>
      <c r="U16" s="7"/>
      <c r="V16" s="5"/>
      <c r="W16" s="8"/>
    </row>
    <row r="17" spans="1:26" x14ac:dyDescent="0.2">
      <c r="A17" t="s">
        <v>28</v>
      </c>
      <c r="D17" s="5">
        <f>+'kolommenbalans 2015'!E31</f>
        <v>-14848.090000000002</v>
      </c>
      <c r="E17" s="8"/>
      <c r="G17" s="5">
        <f>+'kolommenbalans 2014'!F29</f>
        <v>-12794.26</v>
      </c>
      <c r="H17" s="8"/>
      <c r="J17" s="5">
        <v>-11223.85</v>
      </c>
      <c r="K17" s="8"/>
      <c r="M17" s="5">
        <v>635.5</v>
      </c>
      <c r="N17" s="8"/>
      <c r="P17" s="5">
        <v>635.5</v>
      </c>
      <c r="Q17" s="8"/>
      <c r="S17" s="5">
        <v>635.5</v>
      </c>
      <c r="T17" s="8"/>
      <c r="U17" s="7"/>
      <c r="V17" s="5">
        <v>635.5</v>
      </c>
      <c r="W17" s="8"/>
    </row>
    <row r="18" spans="1:26" x14ac:dyDescent="0.2">
      <c r="A18" s="70" t="s">
        <v>349</v>
      </c>
      <c r="D18" s="5">
        <f>+'kolommenbalans 2015'!F31</f>
        <v>-6752.3099999999995</v>
      </c>
      <c r="E18" s="8"/>
      <c r="G18" s="5">
        <f>+'kolommenbalans 2014'!G29</f>
        <v>-6000</v>
      </c>
      <c r="H18" s="8"/>
      <c r="J18" s="5">
        <v>-7500</v>
      </c>
      <c r="K18" s="8"/>
      <c r="M18" s="5">
        <v>1460</v>
      </c>
      <c r="N18" s="8"/>
      <c r="P18" s="5">
        <v>3130</v>
      </c>
      <c r="Q18" s="8"/>
      <c r="S18" s="5">
        <v>0</v>
      </c>
      <c r="T18" s="8"/>
      <c r="U18" s="7"/>
      <c r="V18" s="5">
        <v>0</v>
      </c>
      <c r="W18" s="8"/>
    </row>
    <row r="19" spans="1:26" ht="13.5" thickBot="1" x14ac:dyDescent="0.25">
      <c r="A19" t="s">
        <v>17</v>
      </c>
      <c r="D19" s="9"/>
      <c r="E19" s="8"/>
      <c r="G19" s="9"/>
      <c r="H19" s="8"/>
      <c r="J19" s="9"/>
      <c r="K19" s="8"/>
      <c r="M19" s="9">
        <v>7458.3500000000013</v>
      </c>
      <c r="N19" s="8"/>
      <c r="P19" s="9">
        <v>-41.450000000000728</v>
      </c>
      <c r="Q19" s="8"/>
      <c r="S19" s="6">
        <v>2458.5500000000002</v>
      </c>
      <c r="T19" s="8"/>
      <c r="U19" s="7"/>
      <c r="V19" s="6">
        <v>0</v>
      </c>
      <c r="W19" s="8"/>
    </row>
    <row r="20" spans="1:26" s="12" customFormat="1" ht="13.5" customHeight="1" x14ac:dyDescent="0.2">
      <c r="D20" s="68"/>
      <c r="E20" s="49">
        <f>+D19+D17+D18</f>
        <v>-21600.400000000001</v>
      </c>
      <c r="G20" s="68"/>
      <c r="H20" s="49">
        <f>+G19+G17+G18</f>
        <v>-18794.260000000002</v>
      </c>
      <c r="J20" s="68"/>
      <c r="K20" s="49">
        <v>-18723.849999999999</v>
      </c>
      <c r="M20" s="68"/>
      <c r="N20" s="49">
        <v>9553.8500000000022</v>
      </c>
      <c r="P20" s="68"/>
      <c r="Q20" s="49">
        <v>3724.0499999999993</v>
      </c>
      <c r="S20" s="13"/>
      <c r="T20" s="49">
        <v>3094.05</v>
      </c>
      <c r="U20" s="50"/>
      <c r="V20" s="50"/>
      <c r="W20" s="49">
        <v>635.5</v>
      </c>
    </row>
    <row r="21" spans="1:26" x14ac:dyDescent="0.2">
      <c r="E21" s="8"/>
      <c r="H21" s="8"/>
      <c r="K21" s="8"/>
      <c r="N21" s="8"/>
      <c r="Q21" s="8"/>
      <c r="S21" s="5"/>
      <c r="T21" s="8"/>
      <c r="U21" s="7"/>
      <c r="V21" s="5"/>
      <c r="W21" s="8"/>
    </row>
    <row r="22" spans="1:26" s="12" customFormat="1" ht="19.5" customHeight="1" thickBot="1" x14ac:dyDescent="0.25">
      <c r="A22" s="11" t="s">
        <v>30</v>
      </c>
      <c r="E22" s="16"/>
      <c r="H22" s="16"/>
      <c r="K22" s="16"/>
      <c r="N22" s="16">
        <v>1677.0299999999997</v>
      </c>
      <c r="Q22" s="16">
        <v>6879</v>
      </c>
      <c r="S22" s="13"/>
      <c r="T22" s="51">
        <v>2993.0299999999997</v>
      </c>
      <c r="U22" s="36"/>
      <c r="V22" s="13"/>
      <c r="W22" s="17">
        <v>0</v>
      </c>
    </row>
    <row r="23" spans="1:26" ht="19.5" customHeight="1" x14ac:dyDescent="0.2">
      <c r="C23" s="29" t="s">
        <v>55</v>
      </c>
      <c r="D23" s="30"/>
      <c r="E23" s="18">
        <f>+E20</f>
        <v>-21600.400000000001</v>
      </c>
      <c r="F23" s="29"/>
      <c r="G23" s="30"/>
      <c r="H23" s="18">
        <f>+H20+H22</f>
        <v>-18794.260000000002</v>
      </c>
      <c r="I23" s="29"/>
      <c r="J23" s="30"/>
      <c r="K23" s="18">
        <v>-18723.849999999999</v>
      </c>
      <c r="L23" s="29"/>
      <c r="M23" s="30"/>
      <c r="N23" s="18">
        <v>11230.880000000001</v>
      </c>
      <c r="O23" s="29"/>
      <c r="P23" s="30"/>
      <c r="Q23" s="18">
        <v>10603.05</v>
      </c>
      <c r="R23" s="29"/>
      <c r="S23" s="5"/>
      <c r="T23" s="18">
        <v>6087.08</v>
      </c>
      <c r="U23" s="37"/>
      <c r="V23" s="5"/>
      <c r="W23" s="18">
        <v>635.5</v>
      </c>
    </row>
    <row r="24" spans="1:26" ht="19.5" customHeight="1" x14ac:dyDescent="0.2">
      <c r="E24" s="18"/>
      <c r="H24" s="18"/>
      <c r="K24" s="18"/>
      <c r="N24" s="18"/>
      <c r="Q24" s="18"/>
      <c r="S24" s="5"/>
      <c r="T24" s="18"/>
      <c r="U24" s="37"/>
      <c r="V24" s="5"/>
      <c r="W24" s="18"/>
    </row>
    <row r="25" spans="1:26" ht="19.5" customHeight="1" x14ac:dyDescent="0.2">
      <c r="E25" s="18"/>
      <c r="H25" s="18"/>
      <c r="K25" s="18"/>
      <c r="N25" s="18"/>
      <c r="Q25" s="18"/>
      <c r="S25" s="5"/>
      <c r="T25" s="18"/>
      <c r="U25" s="37"/>
      <c r="V25" s="5"/>
      <c r="W25" s="18"/>
    </row>
    <row r="26" spans="1:26" x14ac:dyDescent="0.2">
      <c r="S26" s="5"/>
      <c r="T26" s="7"/>
      <c r="U26" s="7"/>
      <c r="V26" s="5"/>
      <c r="W26" s="7"/>
    </row>
    <row r="27" spans="1:26" x14ac:dyDescent="0.2">
      <c r="E27" s="52"/>
      <c r="H27" s="52"/>
      <c r="K27" s="52"/>
      <c r="N27" s="52"/>
      <c r="Q27" s="52"/>
    </row>
    <row r="28" spans="1:26" x14ac:dyDescent="0.2">
      <c r="A28" t="s">
        <v>31</v>
      </c>
      <c r="C28" s="70" t="s">
        <v>348</v>
      </c>
      <c r="T28" s="22"/>
      <c r="U28" s="22"/>
      <c r="W28" s="22"/>
    </row>
    <row r="29" spans="1:26" x14ac:dyDescent="0.2">
      <c r="A29" t="s">
        <v>34</v>
      </c>
      <c r="Z29" s="12"/>
    </row>
    <row r="30" spans="1:26" x14ac:dyDescent="0.2">
      <c r="A30" t="s">
        <v>33</v>
      </c>
    </row>
  </sheetData>
  <mergeCells count="14">
    <mergeCell ref="P4:Q4"/>
    <mergeCell ref="S4:T4"/>
    <mergeCell ref="V4:W4"/>
    <mergeCell ref="G3:H3"/>
    <mergeCell ref="J3:K3"/>
    <mergeCell ref="M3:N3"/>
    <mergeCell ref="P3:Q3"/>
    <mergeCell ref="S3:T3"/>
    <mergeCell ref="V3:W3"/>
    <mergeCell ref="D3:E3"/>
    <mergeCell ref="D4:E4"/>
    <mergeCell ref="G4:H4"/>
    <mergeCell ref="J4:K4"/>
    <mergeCell ref="M4:N4"/>
  </mergeCells>
  <pageMargins left="0.74803149606299213" right="0.74803149606299213" top="0.98425196850393704" bottom="0.98425196850393704" header="0.51181102362204722" footer="0.51181102362204722"/>
  <pageSetup paperSize="9" scale="84" orientation="landscape" horizontalDpi="4294967295" verticalDpi="4294967295"/>
  <headerFooter alignWithMargins="0">
    <oddFooter>&amp;L&amp;F, &amp;A&amp;R&amp;D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77"/>
  <sheetViews>
    <sheetView topLeftCell="A23" zoomScaleNormal="100" workbookViewId="0">
      <selection activeCell="B39" sqref="B39"/>
    </sheetView>
  </sheetViews>
  <sheetFormatPr defaultColWidth="8.85546875" defaultRowHeight="12.75" x14ac:dyDescent="0.2"/>
  <cols>
    <col min="1" max="1" width="6.42578125" customWidth="1"/>
    <col min="2" max="2" width="6.140625" customWidth="1"/>
    <col min="3" max="3" width="24.140625" customWidth="1"/>
    <col min="4" max="4" width="10.28515625" style="32" bestFit="1" customWidth="1"/>
    <col min="6" max="6" width="2.42578125" customWidth="1"/>
    <col min="7" max="7" width="9.140625" style="4" customWidth="1"/>
    <col min="9" max="9" width="2.42578125" customWidth="1"/>
    <col min="12" max="12" width="2.42578125" customWidth="1"/>
    <col min="15" max="15" width="2.42578125" customWidth="1"/>
    <col min="16" max="16" width="9.140625" style="5" customWidth="1"/>
    <col min="18" max="18" width="2.42578125" customWidth="1"/>
    <col min="20" max="20" width="10.28515625" bestFit="1" customWidth="1"/>
    <col min="21" max="21" width="20.42578125" customWidth="1"/>
  </cols>
  <sheetData>
    <row r="1" spans="1:20" ht="20.25" x14ac:dyDescent="0.3">
      <c r="A1" s="10" t="s">
        <v>74</v>
      </c>
    </row>
    <row r="3" spans="1:20" x14ac:dyDescent="0.2">
      <c r="D3" s="249" t="s">
        <v>343</v>
      </c>
      <c r="E3" s="236"/>
      <c r="F3" s="27"/>
      <c r="G3" s="249" t="s">
        <v>290</v>
      </c>
      <c r="H3" s="236"/>
      <c r="I3" s="27"/>
      <c r="J3" s="249" t="s">
        <v>244</v>
      </c>
      <c r="K3" s="236"/>
      <c r="L3" s="27"/>
      <c r="M3" s="249" t="s">
        <v>230</v>
      </c>
      <c r="N3" s="236"/>
      <c r="O3" s="27"/>
      <c r="P3" s="250" t="s">
        <v>368</v>
      </c>
      <c r="Q3" s="236"/>
      <c r="S3" s="251" t="s">
        <v>75</v>
      </c>
      <c r="T3" s="236"/>
    </row>
    <row r="4" spans="1:20" x14ac:dyDescent="0.2">
      <c r="D4" s="232" t="s">
        <v>73</v>
      </c>
      <c r="E4" s="231"/>
      <c r="F4" s="28"/>
      <c r="G4" s="232" t="s">
        <v>73</v>
      </c>
      <c r="H4" s="231"/>
      <c r="I4" s="28"/>
      <c r="J4" s="232" t="s">
        <v>73</v>
      </c>
      <c r="K4" s="231"/>
      <c r="L4" s="28"/>
      <c r="M4" s="232" t="s">
        <v>73</v>
      </c>
      <c r="N4" s="231"/>
      <c r="O4" s="28"/>
      <c r="P4" s="232" t="s">
        <v>73</v>
      </c>
      <c r="Q4" s="231"/>
      <c r="S4" s="232" t="s">
        <v>73</v>
      </c>
      <c r="T4" s="231"/>
    </row>
    <row r="5" spans="1:20" ht="15.75" x14ac:dyDescent="0.25">
      <c r="A5" s="2" t="s">
        <v>0</v>
      </c>
      <c r="D5" s="44"/>
      <c r="E5" s="8"/>
      <c r="F5" s="7"/>
      <c r="G5" s="5"/>
      <c r="H5" s="8"/>
      <c r="I5" s="7"/>
      <c r="J5" s="5"/>
      <c r="K5" s="8"/>
      <c r="L5" s="7"/>
      <c r="M5" s="5"/>
      <c r="N5" s="8"/>
      <c r="O5" s="7"/>
      <c r="Q5" s="8"/>
      <c r="S5" s="5"/>
      <c r="T5" s="8"/>
    </row>
    <row r="6" spans="1:20" x14ac:dyDescent="0.2">
      <c r="A6" t="s">
        <v>11</v>
      </c>
      <c r="D6" s="32">
        <f>+'kolommenbalans 2015'!H15+'kolommenbalans 2015'!H11</f>
        <v>21500</v>
      </c>
      <c r="E6" s="8"/>
      <c r="F6" s="7"/>
      <c r="G6" s="4">
        <f>-'kolommenbalans 2014'!I17</f>
        <v>7500</v>
      </c>
      <c r="H6" s="8"/>
      <c r="I6" s="7"/>
      <c r="K6" s="8"/>
      <c r="L6" s="7"/>
      <c r="N6" s="8"/>
      <c r="O6" s="7"/>
      <c r="P6" s="5">
        <v>7500</v>
      </c>
      <c r="Q6" s="8"/>
      <c r="T6" s="8"/>
    </row>
    <row r="7" spans="1:20" x14ac:dyDescent="0.2">
      <c r="A7" t="s">
        <v>1</v>
      </c>
      <c r="D7" s="44">
        <v>0</v>
      </c>
      <c r="E7" s="8"/>
      <c r="F7" s="7"/>
      <c r="G7" s="5">
        <v>0</v>
      </c>
      <c r="H7" s="8"/>
      <c r="I7" s="7"/>
      <c r="J7" s="5">
        <v>0</v>
      </c>
      <c r="K7" s="8"/>
      <c r="L7" s="7"/>
      <c r="M7" s="5">
        <v>0</v>
      </c>
      <c r="N7" s="8"/>
      <c r="O7" s="7"/>
      <c r="P7" s="5">
        <v>0</v>
      </c>
      <c r="Q7" s="8"/>
      <c r="S7" s="5">
        <v>0</v>
      </c>
      <c r="T7" s="8"/>
    </row>
    <row r="8" spans="1:20" x14ac:dyDescent="0.2">
      <c r="A8" t="s">
        <v>2</v>
      </c>
      <c r="D8" s="44">
        <v>0</v>
      </c>
      <c r="E8" s="8"/>
      <c r="F8" s="7"/>
      <c r="G8" s="5">
        <v>0</v>
      </c>
      <c r="H8" s="8"/>
      <c r="I8" s="7"/>
      <c r="J8" s="5">
        <v>7500</v>
      </c>
      <c r="K8" s="8"/>
      <c r="L8" s="7"/>
      <c r="M8" s="5">
        <v>7500</v>
      </c>
      <c r="N8" s="8"/>
      <c r="O8" s="7"/>
      <c r="Q8" s="8"/>
      <c r="S8" s="5">
        <v>7500</v>
      </c>
      <c r="T8" s="8"/>
    </row>
    <row r="9" spans="1:20" ht="13.5" thickBot="1" x14ac:dyDescent="0.25">
      <c r="A9" t="s">
        <v>308</v>
      </c>
      <c r="D9" s="85">
        <f>+'kolommenbalans 2015'!I16+'kolommenbalans 2015'!D21</f>
        <v>217.11</v>
      </c>
      <c r="E9" s="8"/>
      <c r="F9" s="7"/>
      <c r="G9" s="6">
        <f>-'kolommenbalans 2014'!J15-'kolommenbalans 2014'!K20</f>
        <v>182.76</v>
      </c>
      <c r="H9" s="8"/>
      <c r="I9" s="7"/>
      <c r="J9" s="6">
        <f>+'kolommenbalans 2014'!K17</f>
        <v>112.35</v>
      </c>
      <c r="K9" s="8"/>
      <c r="L9" s="7"/>
      <c r="M9" s="6">
        <v>62</v>
      </c>
      <c r="N9" s="8"/>
      <c r="O9" s="7"/>
      <c r="P9" s="6">
        <f>+'meerjarenbegroting '!F8</f>
        <v>100</v>
      </c>
      <c r="Q9" s="8"/>
      <c r="S9" s="6">
        <v>86.56</v>
      </c>
      <c r="T9" s="8"/>
    </row>
    <row r="10" spans="1:20" ht="19.5" customHeight="1" x14ac:dyDescent="0.2">
      <c r="A10" s="3" t="s">
        <v>3</v>
      </c>
      <c r="D10" s="86"/>
      <c r="E10" s="8">
        <f>SUM(D6:D9)</f>
        <v>21717.11</v>
      </c>
      <c r="F10" s="7"/>
      <c r="G10" s="7"/>
      <c r="H10" s="8">
        <f>SUM(G6:G9)</f>
        <v>7682.76</v>
      </c>
      <c r="I10" s="7"/>
      <c r="J10" s="7"/>
      <c r="K10" s="8">
        <f>SUM(J7:J9)</f>
        <v>7612.35</v>
      </c>
      <c r="L10" s="7"/>
      <c r="M10" s="7"/>
      <c r="N10" s="8">
        <f>SUM(M7:M9)</f>
        <v>7562</v>
      </c>
      <c r="O10" s="7"/>
      <c r="P10" s="7"/>
      <c r="Q10" s="8">
        <f>SUM(P6:P9)</f>
        <v>7600</v>
      </c>
      <c r="S10" s="7"/>
      <c r="T10" s="8">
        <v>7586.56</v>
      </c>
    </row>
    <row r="11" spans="1:20" x14ac:dyDescent="0.2">
      <c r="D11" s="44"/>
      <c r="E11" s="8"/>
      <c r="F11" s="7"/>
      <c r="G11" s="5"/>
      <c r="H11" s="8"/>
      <c r="I11" s="7"/>
      <c r="J11" s="5"/>
      <c r="K11" s="8"/>
      <c r="L11" s="7"/>
      <c r="M11" s="5"/>
      <c r="N11" s="8"/>
      <c r="O11" s="7"/>
      <c r="Q11" s="8"/>
      <c r="S11" s="5"/>
      <c r="T11" s="8"/>
    </row>
    <row r="12" spans="1:20" x14ac:dyDescent="0.2">
      <c r="A12" t="s">
        <v>4</v>
      </c>
      <c r="D12" s="44">
        <v>0</v>
      </c>
      <c r="E12" s="8"/>
      <c r="F12" s="7"/>
      <c r="G12" s="5">
        <v>0</v>
      </c>
      <c r="H12" s="8"/>
      <c r="I12" s="7"/>
      <c r="J12" s="5">
        <v>0</v>
      </c>
      <c r="K12" s="8"/>
      <c r="L12" s="7"/>
      <c r="M12" s="5">
        <v>0</v>
      </c>
      <c r="N12" s="8"/>
      <c r="O12" s="7"/>
      <c r="P12" s="5">
        <v>0</v>
      </c>
      <c r="Q12" s="8"/>
      <c r="S12" s="5">
        <v>0</v>
      </c>
      <c r="T12" s="8"/>
    </row>
    <row r="13" spans="1:20" ht="13.5" thickBot="1" x14ac:dyDescent="0.25">
      <c r="A13" t="s">
        <v>5</v>
      </c>
      <c r="D13" s="85">
        <v>0</v>
      </c>
      <c r="E13" s="8"/>
      <c r="F13" s="7"/>
      <c r="G13" s="6">
        <v>0</v>
      </c>
      <c r="H13" s="8"/>
      <c r="I13" s="7"/>
      <c r="J13" s="6">
        <v>0</v>
      </c>
      <c r="K13" s="8"/>
      <c r="L13" s="7"/>
      <c r="M13" s="6">
        <v>0</v>
      </c>
      <c r="N13" s="8"/>
      <c r="O13" s="7"/>
      <c r="P13" s="6">
        <v>0</v>
      </c>
      <c r="Q13" s="8"/>
      <c r="S13" s="6">
        <v>0</v>
      </c>
      <c r="T13" s="8"/>
    </row>
    <row r="14" spans="1:20" ht="19.5" customHeight="1" x14ac:dyDescent="0.2">
      <c r="A14" s="3" t="s">
        <v>6</v>
      </c>
      <c r="D14" s="86"/>
      <c r="E14" s="8">
        <f>-SUM(D12:D13)</f>
        <v>0</v>
      </c>
      <c r="F14" s="7"/>
      <c r="G14" s="7"/>
      <c r="H14" s="8">
        <f>-SUM(G12:G13)</f>
        <v>0</v>
      </c>
      <c r="I14" s="7"/>
      <c r="J14" s="7"/>
      <c r="K14" s="8">
        <f>-SUM(J12:J13)</f>
        <v>0</v>
      </c>
      <c r="L14" s="7"/>
      <c r="M14" s="7"/>
      <c r="N14" s="8">
        <f>-SUM(M12:M13)</f>
        <v>0</v>
      </c>
      <c r="O14" s="7"/>
      <c r="P14" s="7"/>
      <c r="Q14" s="8">
        <f>-SUM(P12:P13)</f>
        <v>0</v>
      </c>
      <c r="S14" s="7"/>
      <c r="T14" s="8">
        <v>0</v>
      </c>
    </row>
    <row r="15" spans="1:20" ht="13.5" thickBot="1" x14ac:dyDescent="0.25">
      <c r="A15" t="s">
        <v>14</v>
      </c>
      <c r="D15" s="44"/>
      <c r="E15" s="19">
        <f>+E14/E10</f>
        <v>0</v>
      </c>
      <c r="F15" s="26"/>
      <c r="G15" s="5"/>
      <c r="H15" s="19">
        <f>+H14/H10</f>
        <v>0</v>
      </c>
      <c r="I15" s="26"/>
      <c r="J15" s="5"/>
      <c r="K15" s="19">
        <f>+K14/K10</f>
        <v>0</v>
      </c>
      <c r="L15" s="26"/>
      <c r="M15" s="5"/>
      <c r="N15" s="19">
        <f>+N14/N10</f>
        <v>0</v>
      </c>
      <c r="O15" s="26"/>
      <c r="Q15" s="19">
        <f>+Q14/Q10</f>
        <v>0</v>
      </c>
      <c r="S15" s="5"/>
      <c r="T15" s="19">
        <v>0</v>
      </c>
    </row>
    <row r="16" spans="1:20" ht="19.5" customHeight="1" x14ac:dyDescent="0.2">
      <c r="A16" s="3" t="s">
        <v>8</v>
      </c>
      <c r="D16" s="86"/>
      <c r="E16" s="8">
        <f>+E10+E14</f>
        <v>21717.11</v>
      </c>
      <c r="F16" s="7"/>
      <c r="G16" s="7"/>
      <c r="H16" s="8">
        <f>+H10+H14</f>
        <v>7682.76</v>
      </c>
      <c r="I16" s="7"/>
      <c r="J16" s="7"/>
      <c r="K16" s="8">
        <f>+K10+K14</f>
        <v>7612.35</v>
      </c>
      <c r="L16" s="7"/>
      <c r="M16" s="7"/>
      <c r="N16" s="8">
        <f>+N10+N14</f>
        <v>7562</v>
      </c>
      <c r="O16" s="7"/>
      <c r="P16" s="7"/>
      <c r="Q16" s="8">
        <f>+Q10+Q14</f>
        <v>7600</v>
      </c>
      <c r="S16" s="7"/>
      <c r="T16" s="8">
        <v>7586.56</v>
      </c>
    </row>
    <row r="17" spans="1:22" ht="13.5" thickBot="1" x14ac:dyDescent="0.25">
      <c r="A17" t="s">
        <v>7</v>
      </c>
      <c r="D17" s="44"/>
      <c r="E17" s="16">
        <v>0</v>
      </c>
      <c r="F17" s="7"/>
      <c r="G17" s="5"/>
      <c r="H17" s="16">
        <v>0</v>
      </c>
      <c r="I17" s="7"/>
      <c r="J17" s="5"/>
      <c r="K17" s="16">
        <v>0</v>
      </c>
      <c r="L17" s="7"/>
      <c r="M17" s="5"/>
      <c r="N17" s="16">
        <v>0</v>
      </c>
      <c r="O17" s="7"/>
      <c r="Q17" s="16">
        <v>0</v>
      </c>
      <c r="S17" s="5"/>
      <c r="T17" s="16">
        <v>0</v>
      </c>
    </row>
    <row r="18" spans="1:22" ht="19.5" customHeight="1" x14ac:dyDescent="0.2">
      <c r="A18" s="3" t="s">
        <v>9</v>
      </c>
      <c r="D18" s="86"/>
      <c r="E18" s="8">
        <f>+E17+E16</f>
        <v>21717.11</v>
      </c>
      <c r="F18" s="7"/>
      <c r="G18" s="7"/>
      <c r="H18" s="8">
        <f>+H17+H16</f>
        <v>7682.76</v>
      </c>
      <c r="I18" s="7"/>
      <c r="J18" s="7"/>
      <c r="K18" s="8">
        <f>+K17+K16</f>
        <v>7612.35</v>
      </c>
      <c r="L18" s="7"/>
      <c r="M18" s="7"/>
      <c r="N18" s="8">
        <f>+N17+N16</f>
        <v>7562</v>
      </c>
      <c r="O18" s="7"/>
      <c r="P18" s="7"/>
      <c r="Q18" s="8">
        <f>+Q17+Q16</f>
        <v>7600</v>
      </c>
      <c r="S18" s="7"/>
      <c r="T18" s="8">
        <v>7586.56</v>
      </c>
    </row>
    <row r="19" spans="1:22" x14ac:dyDescent="0.2">
      <c r="D19" s="44"/>
      <c r="E19" s="8"/>
      <c r="F19" s="7"/>
      <c r="G19" s="5"/>
      <c r="H19" s="8"/>
      <c r="I19" s="7"/>
      <c r="J19" s="5"/>
      <c r="K19" s="8"/>
      <c r="L19" s="7"/>
      <c r="M19" s="5"/>
      <c r="N19" s="8"/>
      <c r="O19" s="7"/>
      <c r="Q19" s="8"/>
      <c r="S19" s="5"/>
      <c r="T19" s="8"/>
    </row>
    <row r="20" spans="1:22" ht="15.75" x14ac:dyDescent="0.25">
      <c r="A20" s="2" t="s">
        <v>10</v>
      </c>
      <c r="D20" s="44"/>
      <c r="E20" s="8"/>
      <c r="F20" s="7"/>
      <c r="G20" s="5"/>
      <c r="H20" s="8"/>
      <c r="I20" s="7"/>
      <c r="J20" s="5"/>
      <c r="K20" s="8"/>
      <c r="L20" s="7"/>
      <c r="M20" s="5"/>
      <c r="N20" s="8"/>
      <c r="O20" s="7"/>
      <c r="Q20" s="8"/>
      <c r="S20" s="5"/>
      <c r="T20" s="8"/>
    </row>
    <row r="21" spans="1:22" x14ac:dyDescent="0.2">
      <c r="A21" t="s">
        <v>365</v>
      </c>
      <c r="D21" s="44">
        <f>+'kolommenbalans 2015'!K11+'kolommenbalans 2015'!K12</f>
        <v>12747.69</v>
      </c>
      <c r="E21" s="8"/>
      <c r="F21" s="7"/>
      <c r="G21" s="5">
        <f>-'kolommenbalans 2014'!G21</f>
        <v>6000</v>
      </c>
      <c r="H21" s="8"/>
      <c r="I21" s="7"/>
      <c r="J21" s="5">
        <v>0</v>
      </c>
      <c r="K21" s="8"/>
      <c r="L21" s="7"/>
      <c r="M21" s="5">
        <v>0</v>
      </c>
      <c r="N21" s="8"/>
      <c r="O21" s="7"/>
      <c r="P21" s="5">
        <v>7500</v>
      </c>
      <c r="Q21" s="8"/>
      <c r="S21" s="5">
        <v>5053.45</v>
      </c>
      <c r="T21" s="8"/>
    </row>
    <row r="22" spans="1:22" x14ac:dyDescent="0.2">
      <c r="A22" t="s">
        <v>366</v>
      </c>
      <c r="D22" s="44">
        <f>+'kolommenbalans 2015'!L24</f>
        <v>5500</v>
      </c>
      <c r="E22" s="8"/>
      <c r="F22" s="7"/>
      <c r="G22" s="5"/>
      <c r="H22" s="8"/>
      <c r="I22" s="7"/>
      <c r="J22" s="5"/>
      <c r="K22" s="8"/>
      <c r="L22" s="7"/>
      <c r="M22" s="5"/>
      <c r="N22" s="8"/>
      <c r="O22" s="7"/>
      <c r="Q22" s="8"/>
      <c r="S22" s="5"/>
      <c r="T22" s="8"/>
    </row>
    <row r="23" spans="1:22" x14ac:dyDescent="0.2">
      <c r="A23" t="s">
        <v>350</v>
      </c>
      <c r="D23" s="44">
        <f>+'kolommenbalans 2015'!L23</f>
        <v>1252.31</v>
      </c>
      <c r="E23" s="8"/>
      <c r="F23" s="7"/>
      <c r="G23" s="5"/>
      <c r="H23" s="8"/>
      <c r="I23" s="7"/>
      <c r="J23" s="5"/>
      <c r="K23" s="8"/>
      <c r="L23" s="7"/>
      <c r="M23" s="5"/>
      <c r="N23" s="8"/>
      <c r="O23" s="7"/>
      <c r="Q23" s="8"/>
      <c r="S23" s="5"/>
      <c r="T23" s="8"/>
    </row>
    <row r="24" spans="1:22" ht="13.5" thickBot="1" x14ac:dyDescent="0.25">
      <c r="A24" t="s">
        <v>5</v>
      </c>
      <c r="D24" s="85">
        <f>+'kolommenbalans 2015'!J18</f>
        <v>163.28</v>
      </c>
      <c r="E24" s="8"/>
      <c r="F24" s="7"/>
      <c r="G24" s="6">
        <f>+'kolommenbalans 2014'!K17</f>
        <v>112.35</v>
      </c>
      <c r="H24" s="8"/>
      <c r="I24" s="7"/>
      <c r="J24" s="6">
        <v>100</v>
      </c>
      <c r="K24" s="8"/>
      <c r="L24" s="7"/>
      <c r="M24" s="9" t="s">
        <v>351</v>
      </c>
      <c r="N24" s="8"/>
      <c r="O24" s="7"/>
      <c r="P24" s="6">
        <f>+'meerjarenbegroting '!F21</f>
        <v>100</v>
      </c>
      <c r="Q24" s="8"/>
      <c r="S24" s="6">
        <v>74.56</v>
      </c>
      <c r="T24" s="8"/>
      <c r="V24" s="52"/>
    </row>
    <row r="25" spans="1:22" x14ac:dyDescent="0.2">
      <c r="D25" s="44"/>
      <c r="E25" s="8"/>
      <c r="F25" s="7"/>
      <c r="G25" s="5"/>
      <c r="H25" s="8"/>
      <c r="I25" s="7"/>
      <c r="J25" s="5"/>
      <c r="K25" s="8"/>
      <c r="L25" s="7"/>
      <c r="M25" s="5"/>
      <c r="N25" s="8"/>
      <c r="O25" s="7"/>
      <c r="Q25" s="8"/>
      <c r="S25" s="5"/>
      <c r="T25" s="8"/>
    </row>
    <row r="26" spans="1:22" ht="19.5" customHeight="1" x14ac:dyDescent="0.2">
      <c r="A26" s="3" t="s">
        <v>13</v>
      </c>
      <c r="D26" s="86"/>
      <c r="E26" s="8">
        <f>SUM(D20:D24)</f>
        <v>19663.280000000002</v>
      </c>
      <c r="F26" s="7"/>
      <c r="G26" s="7"/>
      <c r="H26" s="8">
        <f>SUM(G20:G24)</f>
        <v>6112.35</v>
      </c>
      <c r="I26" s="7"/>
      <c r="J26" s="7"/>
      <c r="K26" s="8">
        <f>SUM(J20:J24)</f>
        <v>100</v>
      </c>
      <c r="L26" s="7"/>
      <c r="M26" s="7"/>
      <c r="N26" s="8">
        <f>SUM(M20:M24)</f>
        <v>0</v>
      </c>
      <c r="O26" s="7"/>
      <c r="P26" s="7"/>
      <c r="Q26" s="8">
        <f>+P24+P21</f>
        <v>7600</v>
      </c>
      <c r="S26" s="7"/>
      <c r="T26" s="8">
        <v>5128.01</v>
      </c>
    </row>
    <row r="27" spans="1:22" x14ac:dyDescent="0.2">
      <c r="D27" s="44"/>
      <c r="E27" s="8"/>
      <c r="F27" s="7"/>
      <c r="G27" s="5"/>
      <c r="H27" s="8"/>
      <c r="I27" s="7"/>
      <c r="J27" s="5"/>
      <c r="K27" s="8"/>
      <c r="L27" s="7"/>
      <c r="M27" s="5"/>
      <c r="N27" s="8"/>
      <c r="O27" s="7"/>
      <c r="Q27" s="8"/>
      <c r="S27" s="5"/>
      <c r="T27" s="8"/>
      <c r="U27" s="52"/>
    </row>
    <row r="28" spans="1:22" ht="19.5" customHeight="1" x14ac:dyDescent="0.2">
      <c r="A28" s="1" t="s">
        <v>15</v>
      </c>
      <c r="D28" s="86"/>
      <c r="E28" s="8">
        <f>+E18-E26</f>
        <v>2053.8299999999981</v>
      </c>
      <c r="F28" s="7"/>
      <c r="G28" s="7"/>
      <c r="H28" s="8">
        <f>+H18-H26</f>
        <v>1570.4099999999999</v>
      </c>
      <c r="I28" s="7"/>
      <c r="J28" s="7"/>
      <c r="K28" s="8">
        <f>+K18-K26</f>
        <v>7512.35</v>
      </c>
      <c r="L28" s="7"/>
      <c r="M28" s="7"/>
      <c r="N28" s="8">
        <f>+N18-N26</f>
        <v>7562</v>
      </c>
      <c r="O28" s="7"/>
      <c r="P28" s="7"/>
      <c r="Q28" s="8">
        <f>+Q18-Q26</f>
        <v>0</v>
      </c>
      <c r="S28" s="7"/>
      <c r="T28" s="8">
        <v>2458.5500000000002</v>
      </c>
    </row>
    <row r="29" spans="1:22" x14ac:dyDescent="0.2">
      <c r="D29" s="44"/>
      <c r="E29" s="7"/>
      <c r="F29" s="7"/>
      <c r="G29" s="5"/>
      <c r="H29" s="7"/>
      <c r="I29" s="7"/>
      <c r="J29" s="5"/>
      <c r="K29" s="7"/>
      <c r="L29" s="7"/>
      <c r="M29" s="5"/>
      <c r="N29" s="7"/>
      <c r="O29" s="7"/>
      <c r="Q29" s="7"/>
      <c r="S29" s="5"/>
      <c r="T29" s="7"/>
    </row>
    <row r="30" spans="1:22" x14ac:dyDescent="0.2">
      <c r="A30" s="20" t="s">
        <v>16</v>
      </c>
      <c r="D30" s="44"/>
      <c r="E30" s="7"/>
      <c r="F30" s="7"/>
      <c r="G30" s="5"/>
      <c r="H30" s="7"/>
      <c r="I30" s="7"/>
      <c r="J30" s="5"/>
      <c r="K30" s="7"/>
      <c r="L30" s="7"/>
      <c r="M30" s="5"/>
      <c r="N30" s="7"/>
      <c r="O30" s="7"/>
      <c r="Q30" s="7"/>
      <c r="S30" s="5"/>
      <c r="T30" s="7"/>
    </row>
    <row r="31" spans="1:22" x14ac:dyDescent="0.2">
      <c r="A31" t="s">
        <v>17</v>
      </c>
      <c r="D31" s="44">
        <v>0</v>
      </c>
      <c r="E31" s="8"/>
      <c r="F31" s="7"/>
      <c r="G31" s="5">
        <v>0</v>
      </c>
      <c r="H31" s="8"/>
      <c r="I31" s="7"/>
      <c r="J31" s="5">
        <v>7500</v>
      </c>
      <c r="K31" s="8"/>
      <c r="L31" s="7"/>
      <c r="M31" s="5">
        <v>7500</v>
      </c>
      <c r="N31" s="8"/>
      <c r="O31" s="7"/>
      <c r="P31" s="5">
        <v>0</v>
      </c>
      <c r="Q31" s="8"/>
      <c r="S31" s="5">
        <v>2458.5500000000002</v>
      </c>
      <c r="T31" s="8"/>
    </row>
    <row r="32" spans="1:22" ht="13.5" thickBot="1" x14ac:dyDescent="0.25">
      <c r="A32" t="s">
        <v>28</v>
      </c>
      <c r="D32" s="85">
        <f>+E28</f>
        <v>2053.8299999999981</v>
      </c>
      <c r="E32" s="8"/>
      <c r="F32" s="7"/>
      <c r="G32" s="6">
        <v>1570</v>
      </c>
      <c r="H32" s="8"/>
      <c r="I32" s="7"/>
      <c r="J32" s="6">
        <v>0</v>
      </c>
      <c r="K32" s="8"/>
      <c r="L32" s="7"/>
      <c r="M32" s="6">
        <v>0</v>
      </c>
      <c r="N32" s="8"/>
      <c r="O32" s="7"/>
      <c r="P32" s="6">
        <f>+Q28</f>
        <v>0</v>
      </c>
      <c r="Q32" s="8"/>
      <c r="S32" s="9">
        <v>0</v>
      </c>
      <c r="T32" s="8"/>
    </row>
    <row r="33" spans="1:20" ht="19.5" customHeight="1" x14ac:dyDescent="0.2">
      <c r="A33" s="3"/>
      <c r="D33" s="86"/>
      <c r="E33" s="8">
        <f>+D31+D32</f>
        <v>2053.8299999999981</v>
      </c>
      <c r="F33" s="7"/>
      <c r="G33" s="7"/>
      <c r="H33" s="8">
        <f>+G31+G32</f>
        <v>1570</v>
      </c>
      <c r="I33" s="7"/>
      <c r="J33" s="7"/>
      <c r="K33" s="8">
        <f>+J31+J32</f>
        <v>7500</v>
      </c>
      <c r="L33" s="7"/>
      <c r="M33" s="7"/>
      <c r="N33" s="8">
        <f>+M31+M32</f>
        <v>7500</v>
      </c>
      <c r="O33" s="7"/>
      <c r="P33" s="7"/>
      <c r="Q33" s="8">
        <f>+P32+P31</f>
        <v>0</v>
      </c>
      <c r="S33" s="7"/>
      <c r="T33" s="8">
        <v>2458.5500000000002</v>
      </c>
    </row>
    <row r="34" spans="1:20" ht="19.5" customHeight="1" x14ac:dyDescent="0.2">
      <c r="A34" s="3"/>
      <c r="D34" s="86"/>
      <c r="E34" s="8"/>
      <c r="F34" s="7"/>
      <c r="G34" s="7"/>
      <c r="H34" s="8"/>
      <c r="I34" s="7"/>
      <c r="J34" s="7"/>
      <c r="K34" s="8"/>
      <c r="L34" s="7"/>
      <c r="M34" s="7"/>
      <c r="N34" s="8"/>
      <c r="O34" s="7"/>
      <c r="P34" s="7"/>
      <c r="Q34" s="8"/>
      <c r="S34" s="7"/>
      <c r="T34" s="8"/>
    </row>
    <row r="35" spans="1:20" ht="19.5" customHeight="1" x14ac:dyDescent="0.2">
      <c r="A35" s="3"/>
      <c r="F35" s="7"/>
      <c r="I35" s="7"/>
      <c r="L35" s="7"/>
      <c r="O35" s="7"/>
      <c r="P35" s="7"/>
      <c r="Q35" s="7"/>
    </row>
    <row r="36" spans="1:20" x14ac:dyDescent="0.2">
      <c r="A36" t="s">
        <v>43</v>
      </c>
    </row>
    <row r="37" spans="1:20" x14ac:dyDescent="0.2">
      <c r="A37" t="s">
        <v>47</v>
      </c>
    </row>
    <row r="38" spans="1:20" x14ac:dyDescent="0.2">
      <c r="A38" s="76"/>
      <c r="B38" s="70" t="s">
        <v>344</v>
      </c>
      <c r="C38" s="76"/>
      <c r="D38" s="87"/>
      <c r="E38" s="76"/>
      <c r="F38" s="76"/>
      <c r="G38" s="88"/>
      <c r="H38" s="76"/>
      <c r="I38" s="76"/>
      <c r="J38" s="76"/>
      <c r="K38" s="76"/>
      <c r="L38" s="76"/>
      <c r="M38" s="76"/>
      <c r="N38" s="76"/>
      <c r="O38" s="76"/>
    </row>
    <row r="39" spans="1:20" x14ac:dyDescent="0.2">
      <c r="A39" s="76"/>
      <c r="B39" s="70" t="s">
        <v>364</v>
      </c>
      <c r="C39" s="76"/>
      <c r="D39" s="87"/>
      <c r="E39" s="76"/>
      <c r="F39" s="76"/>
      <c r="G39" s="88"/>
      <c r="H39" s="76"/>
      <c r="I39" s="76"/>
      <c r="J39" s="76"/>
      <c r="K39" s="76"/>
      <c r="L39" s="76"/>
      <c r="M39" s="76"/>
      <c r="N39" s="76"/>
      <c r="O39" s="76"/>
    </row>
    <row r="40" spans="1:20" x14ac:dyDescent="0.2">
      <c r="A40" s="76"/>
      <c r="B40" s="70" t="s">
        <v>352</v>
      </c>
      <c r="C40" s="76"/>
      <c r="D40" s="87"/>
      <c r="E40" s="76"/>
      <c r="F40" s="76"/>
      <c r="G40" s="88"/>
      <c r="H40" s="76"/>
      <c r="I40" s="76"/>
      <c r="J40" s="76"/>
      <c r="K40" s="76"/>
      <c r="L40" s="76"/>
      <c r="M40" s="76"/>
      <c r="N40" s="76"/>
      <c r="O40" s="76"/>
    </row>
    <row r="41" spans="1:20" x14ac:dyDescent="0.2">
      <c r="A41" s="76"/>
      <c r="B41" s="76"/>
      <c r="C41" s="76"/>
      <c r="D41" s="87"/>
      <c r="E41" s="76"/>
      <c r="F41" s="76"/>
      <c r="G41" s="88"/>
      <c r="H41" s="76"/>
      <c r="I41" s="76"/>
      <c r="J41" s="76"/>
      <c r="K41" s="76"/>
      <c r="L41" s="76"/>
      <c r="M41" s="76"/>
      <c r="N41" s="76"/>
      <c r="O41" s="76"/>
    </row>
    <row r="42" spans="1:20" x14ac:dyDescent="0.2">
      <c r="A42" s="76"/>
      <c r="B42" s="70" t="s">
        <v>107</v>
      </c>
      <c r="C42" s="76"/>
      <c r="D42" s="87"/>
      <c r="E42" s="76"/>
      <c r="F42" s="76"/>
      <c r="G42" s="88"/>
      <c r="H42" s="76"/>
      <c r="I42" s="76"/>
      <c r="J42" s="76"/>
      <c r="K42" s="76"/>
      <c r="L42" s="76"/>
      <c r="M42" s="76"/>
      <c r="N42" s="76"/>
      <c r="O42" s="76"/>
    </row>
    <row r="43" spans="1:20" x14ac:dyDescent="0.2">
      <c r="A43" s="76"/>
      <c r="B43" s="70" t="s">
        <v>345</v>
      </c>
      <c r="C43" s="76"/>
      <c r="D43" s="87"/>
      <c r="E43" s="76"/>
      <c r="F43" s="76"/>
      <c r="G43" s="88"/>
      <c r="H43" s="76"/>
      <c r="I43" s="76"/>
      <c r="J43" s="76"/>
      <c r="K43" s="76"/>
      <c r="L43" s="76"/>
      <c r="M43" s="76"/>
      <c r="N43" s="76"/>
      <c r="O43" s="76"/>
    </row>
    <row r="44" spans="1:20" x14ac:dyDescent="0.2">
      <c r="A44" s="76"/>
      <c r="B44" s="70" t="s">
        <v>256</v>
      </c>
      <c r="C44" s="76"/>
      <c r="D44" s="87"/>
      <c r="E44" s="76"/>
      <c r="F44" s="76"/>
      <c r="G44" s="88"/>
      <c r="H44" s="76"/>
      <c r="I44" s="76"/>
      <c r="J44" s="76"/>
      <c r="K44" s="76"/>
      <c r="L44" s="76"/>
      <c r="M44" s="76"/>
      <c r="N44" s="76"/>
      <c r="O44" s="76"/>
    </row>
    <row r="45" spans="1:20" x14ac:dyDescent="0.2">
      <c r="A45" s="76"/>
      <c r="B45" s="76"/>
      <c r="C45" s="76"/>
      <c r="D45" s="87"/>
      <c r="E45" s="76"/>
      <c r="F45" s="76"/>
      <c r="G45" s="88"/>
      <c r="H45" s="76"/>
      <c r="I45" s="76"/>
      <c r="J45" s="76"/>
      <c r="K45" s="76"/>
      <c r="L45" s="76"/>
      <c r="M45" s="76"/>
      <c r="N45" s="76"/>
      <c r="O45" s="76"/>
    </row>
    <row r="46" spans="1:20" x14ac:dyDescent="0.2">
      <c r="A46" s="76"/>
      <c r="B46" s="70" t="s">
        <v>367</v>
      </c>
      <c r="C46" s="76"/>
      <c r="D46" s="87"/>
      <c r="E46" s="76"/>
      <c r="F46" s="76"/>
      <c r="G46" s="88"/>
      <c r="H46" s="76"/>
      <c r="I46" s="76"/>
      <c r="J46" s="76"/>
      <c r="K46" s="76"/>
      <c r="L46" s="76"/>
      <c r="M46" s="76"/>
      <c r="N46" s="76"/>
      <c r="O46" s="76"/>
      <c r="S46" s="5"/>
    </row>
    <row r="47" spans="1:20" x14ac:dyDescent="0.2">
      <c r="A47" s="76"/>
      <c r="B47" s="70"/>
      <c r="C47" s="76"/>
      <c r="D47" s="87"/>
      <c r="E47" s="76"/>
      <c r="F47" s="76"/>
      <c r="G47" s="88"/>
      <c r="H47" s="76"/>
      <c r="I47" s="76"/>
      <c r="J47" s="76"/>
      <c r="K47" s="76"/>
      <c r="L47" s="76"/>
      <c r="M47" s="76"/>
      <c r="N47" s="76"/>
      <c r="O47" s="76"/>
      <c r="S47" s="5"/>
    </row>
    <row r="48" spans="1:20" x14ac:dyDescent="0.2">
      <c r="A48" s="70" t="s">
        <v>46</v>
      </c>
      <c r="B48" s="70"/>
      <c r="C48" s="70"/>
      <c r="D48" s="87"/>
      <c r="E48" s="76"/>
      <c r="F48" s="76"/>
      <c r="G48" s="88"/>
      <c r="H48" s="76"/>
      <c r="I48" s="76"/>
      <c r="J48" s="76"/>
      <c r="K48" s="76"/>
      <c r="L48" s="76"/>
      <c r="M48" s="76"/>
      <c r="N48" s="76"/>
      <c r="O48" s="76"/>
      <c r="S48" s="5"/>
    </row>
    <row r="49" spans="1:22" x14ac:dyDescent="0.2">
      <c r="A49" s="70"/>
      <c r="B49" s="70" t="s">
        <v>353</v>
      </c>
      <c r="C49" s="70"/>
      <c r="D49" s="87"/>
      <c r="E49" s="76"/>
      <c r="F49" s="76"/>
      <c r="G49" s="88"/>
      <c r="H49" s="76"/>
      <c r="I49" s="76"/>
      <c r="J49" s="76"/>
      <c r="K49" s="76"/>
      <c r="L49" s="76"/>
      <c r="M49" s="76"/>
      <c r="N49" s="76"/>
      <c r="O49" s="76"/>
      <c r="S49" s="5"/>
      <c r="T49" s="44"/>
    </row>
    <row r="50" spans="1:22" x14ac:dyDescent="0.2">
      <c r="A50" s="70"/>
      <c r="B50" s="70" t="s">
        <v>354</v>
      </c>
      <c r="C50" s="70"/>
      <c r="D50" s="87"/>
      <c r="E50" s="76"/>
      <c r="F50" s="76"/>
      <c r="G50" s="88"/>
      <c r="H50" s="76"/>
      <c r="I50" s="76"/>
      <c r="J50" s="76"/>
      <c r="K50" s="76"/>
      <c r="L50" s="76"/>
      <c r="M50" s="76"/>
      <c r="N50" s="76"/>
      <c r="O50" s="76"/>
      <c r="S50" s="5"/>
      <c r="T50" s="44"/>
    </row>
    <row r="51" spans="1:22" x14ac:dyDescent="0.2">
      <c r="A51" s="70"/>
      <c r="B51" s="70" t="s">
        <v>355</v>
      </c>
      <c r="C51" s="70"/>
      <c r="D51" s="87"/>
      <c r="E51" s="76"/>
      <c r="F51" s="76"/>
      <c r="G51" s="88"/>
      <c r="H51" s="76"/>
      <c r="I51" s="76"/>
      <c r="J51" s="76"/>
      <c r="K51" s="76"/>
      <c r="L51" s="76"/>
      <c r="M51" s="76"/>
      <c r="N51" s="76"/>
      <c r="O51" s="76"/>
      <c r="S51" s="5"/>
      <c r="T51" s="44"/>
    </row>
    <row r="52" spans="1:22" x14ac:dyDescent="0.2">
      <c r="A52" s="70"/>
      <c r="B52" s="70" t="s">
        <v>362</v>
      </c>
      <c r="C52" s="70"/>
      <c r="D52" s="87"/>
      <c r="E52" s="76"/>
      <c r="F52" s="76"/>
      <c r="G52" s="88"/>
      <c r="H52" s="76"/>
      <c r="I52" s="76"/>
      <c r="J52" s="76"/>
      <c r="K52" s="76"/>
      <c r="L52" s="76"/>
      <c r="M52" s="76"/>
      <c r="N52" s="76"/>
      <c r="O52" s="76"/>
      <c r="S52" s="5"/>
      <c r="T52" s="44"/>
    </row>
    <row r="53" spans="1:22" x14ac:dyDescent="0.2">
      <c r="A53" s="70"/>
      <c r="B53" s="70" t="s">
        <v>356</v>
      </c>
      <c r="C53" s="70"/>
      <c r="D53" s="87"/>
      <c r="E53" s="76"/>
      <c r="F53" s="76"/>
      <c r="G53" s="88"/>
      <c r="H53" s="76"/>
      <c r="I53" s="76"/>
      <c r="J53" s="76"/>
      <c r="K53" s="76"/>
      <c r="L53" s="76"/>
      <c r="M53" s="76"/>
      <c r="N53" s="76"/>
      <c r="O53" s="76"/>
      <c r="S53" s="5"/>
      <c r="T53" s="44"/>
    </row>
    <row r="54" spans="1:22" x14ac:dyDescent="0.2">
      <c r="A54" s="70"/>
      <c r="B54" s="70" t="s">
        <v>361</v>
      </c>
      <c r="C54" s="70"/>
      <c r="D54" s="87"/>
      <c r="E54" s="76"/>
      <c r="F54" s="76"/>
      <c r="G54" s="88"/>
      <c r="H54" s="76"/>
      <c r="I54" s="76"/>
      <c r="J54" s="76"/>
      <c r="K54" s="76"/>
      <c r="L54" s="76"/>
      <c r="M54" s="76"/>
      <c r="N54" s="76"/>
      <c r="O54" s="76"/>
      <c r="S54" s="5"/>
      <c r="T54" s="44"/>
    </row>
    <row r="55" spans="1:22" x14ac:dyDescent="0.2">
      <c r="A55" s="70"/>
      <c r="B55" s="70" t="s">
        <v>360</v>
      </c>
      <c r="C55" s="70"/>
      <c r="D55" s="87"/>
      <c r="E55" s="76"/>
      <c r="F55" s="76"/>
      <c r="G55" s="88"/>
      <c r="H55" s="76"/>
      <c r="I55" s="76"/>
      <c r="J55" s="76"/>
      <c r="K55" s="76"/>
      <c r="L55" s="76"/>
      <c r="M55" s="76"/>
      <c r="N55" s="76"/>
      <c r="O55" s="76"/>
      <c r="S55" s="5"/>
      <c r="T55" s="44"/>
    </row>
    <row r="56" spans="1:22" x14ac:dyDescent="0.2">
      <c r="A56" s="70"/>
      <c r="B56" s="70" t="s">
        <v>359</v>
      </c>
      <c r="C56" s="70"/>
      <c r="D56" s="87"/>
      <c r="E56" s="76"/>
      <c r="F56" s="76"/>
      <c r="G56" s="88"/>
      <c r="H56" s="76"/>
      <c r="I56" s="76"/>
      <c r="J56" s="76"/>
      <c r="K56" s="76"/>
      <c r="L56" s="76"/>
      <c r="M56" s="76"/>
      <c r="N56" s="76"/>
      <c r="O56" s="76"/>
      <c r="S56" s="23"/>
      <c r="T56" s="44"/>
    </row>
    <row r="57" spans="1:22" s="5" customFormat="1" x14ac:dyDescent="0.2">
      <c r="A57" s="70"/>
      <c r="B57" s="70" t="s">
        <v>357</v>
      </c>
      <c r="C57" s="70"/>
      <c r="D57" s="87"/>
      <c r="E57" s="76"/>
      <c r="F57" s="76"/>
      <c r="G57" s="88"/>
      <c r="H57" s="76"/>
      <c r="I57" s="76"/>
      <c r="J57" s="76"/>
      <c r="K57" s="76"/>
      <c r="L57" s="76"/>
      <c r="M57" s="76"/>
      <c r="N57" s="76"/>
      <c r="O57" s="76"/>
      <c r="Q57"/>
      <c r="R57"/>
      <c r="S57" s="23"/>
      <c r="T57" s="44"/>
      <c r="U57"/>
      <c r="V57"/>
    </row>
    <row r="58" spans="1:22" s="5" customFormat="1" x14ac:dyDescent="0.2">
      <c r="A58" s="76"/>
      <c r="B58" s="76"/>
      <c r="C58" s="76"/>
      <c r="D58" s="87"/>
      <c r="E58" s="76"/>
      <c r="F58" s="76"/>
      <c r="G58" s="88"/>
      <c r="H58" s="76"/>
      <c r="I58" s="76"/>
      <c r="J58" s="76"/>
      <c r="K58" s="76"/>
      <c r="L58" s="76"/>
      <c r="M58" s="76"/>
      <c r="N58" s="76"/>
      <c r="O58" s="76"/>
      <c r="Q58"/>
      <c r="R58"/>
      <c r="T58" s="44"/>
      <c r="U58"/>
      <c r="V58"/>
    </row>
    <row r="59" spans="1:22" s="5" customFormat="1" x14ac:dyDescent="0.2">
      <c r="A59" s="70" t="s">
        <v>173</v>
      </c>
      <c r="B59" s="70"/>
      <c r="C59" s="70"/>
      <c r="D59" s="72"/>
      <c r="E59" s="70"/>
      <c r="F59" s="70"/>
      <c r="G59" s="89"/>
      <c r="H59" s="70"/>
      <c r="I59" s="70"/>
      <c r="J59" s="70"/>
      <c r="K59" s="70"/>
      <c r="L59" s="70"/>
      <c r="M59" s="70"/>
      <c r="N59" s="70"/>
      <c r="O59" s="70"/>
      <c r="Q59"/>
      <c r="R59"/>
      <c r="T59" s="44"/>
      <c r="U59"/>
      <c r="V59"/>
    </row>
    <row r="60" spans="1:22" s="5" customFormat="1" x14ac:dyDescent="0.2">
      <c r="A60" s="70"/>
      <c r="B60" s="70" t="s">
        <v>71</v>
      </c>
      <c r="C60" s="70"/>
      <c r="D60" s="72"/>
      <c r="E60" s="70"/>
      <c r="F60" s="70"/>
      <c r="G60" s="89"/>
      <c r="H60" s="70"/>
      <c r="I60" s="70"/>
      <c r="J60" s="70"/>
      <c r="K60" s="70"/>
      <c r="L60" s="70"/>
      <c r="M60" s="70"/>
      <c r="N60" s="70"/>
      <c r="O60" s="70"/>
      <c r="Q60"/>
      <c r="R60"/>
      <c r="U60"/>
      <c r="V60"/>
    </row>
    <row r="61" spans="1:22" s="5" customFormat="1" x14ac:dyDescent="0.2">
      <c r="A61" s="70"/>
      <c r="B61" s="70" t="str">
        <f>+B44</f>
        <v>Bijdragen St. Transparante Anbi.nl</v>
      </c>
      <c r="C61" s="70"/>
      <c r="D61" s="72"/>
      <c r="E61" s="70"/>
      <c r="F61" s="70"/>
      <c r="G61" s="89"/>
      <c r="H61" s="70"/>
      <c r="I61" s="70"/>
      <c r="J61" s="70"/>
      <c r="K61" s="70"/>
      <c r="L61" s="70"/>
      <c r="M61" s="70"/>
      <c r="N61" s="70"/>
      <c r="O61" s="70"/>
      <c r="Q61"/>
      <c r="R61"/>
      <c r="U61"/>
      <c r="V61"/>
    </row>
    <row r="62" spans="1:22" s="5" customFormat="1" x14ac:dyDescent="0.2">
      <c r="A62" s="70"/>
      <c r="B62" s="70"/>
      <c r="C62" s="70"/>
      <c r="D62" s="72"/>
      <c r="E62" s="70"/>
      <c r="F62" s="70"/>
      <c r="G62" s="89"/>
      <c r="H62" s="70"/>
      <c r="I62" s="70"/>
      <c r="J62" s="70"/>
      <c r="K62" s="70"/>
      <c r="L62" s="70"/>
      <c r="M62" s="70"/>
      <c r="N62" s="70"/>
      <c r="O62" s="70"/>
      <c r="Q62"/>
      <c r="R62"/>
      <c r="U62"/>
      <c r="V62"/>
    </row>
    <row r="63" spans="1:22" s="5" customFormat="1" x14ac:dyDescent="0.2">
      <c r="A63" s="76"/>
      <c r="B63" s="70" t="s">
        <v>358</v>
      </c>
      <c r="C63" s="76"/>
      <c r="D63" s="87"/>
      <c r="E63" s="76"/>
      <c r="F63" s="76"/>
      <c r="G63" s="88"/>
      <c r="H63" s="76"/>
      <c r="I63" s="76"/>
      <c r="J63" s="76"/>
      <c r="K63" s="76"/>
      <c r="L63" s="76"/>
      <c r="M63" s="76"/>
      <c r="N63" s="76"/>
      <c r="O63" s="76"/>
      <c r="Q63"/>
      <c r="R63"/>
      <c r="S63" s="23"/>
      <c r="T63" s="44"/>
      <c r="U63"/>
      <c r="V63"/>
    </row>
    <row r="64" spans="1:22" s="5" customFormat="1" x14ac:dyDescent="0.2">
      <c r="A64" s="70"/>
      <c r="B64"/>
      <c r="C64"/>
      <c r="D64" s="32"/>
      <c r="E64"/>
      <c r="F64"/>
      <c r="G64" s="4"/>
      <c r="H64"/>
      <c r="I64"/>
      <c r="J64"/>
      <c r="K64"/>
      <c r="L64"/>
      <c r="M64"/>
      <c r="N64"/>
      <c r="O64"/>
      <c r="Q64"/>
      <c r="R64"/>
      <c r="S64" s="23"/>
      <c r="T64" s="44"/>
      <c r="U64"/>
      <c r="V64"/>
    </row>
    <row r="65" spans="1:22" s="5" customFormat="1" x14ac:dyDescent="0.2">
      <c r="A65"/>
      <c r="B65" s="70"/>
      <c r="C65" s="24"/>
      <c r="D65" s="32"/>
      <c r="E65"/>
      <c r="F65"/>
      <c r="G65" s="4"/>
      <c r="H65"/>
      <c r="I65"/>
      <c r="J65"/>
      <c r="K65"/>
      <c r="L65"/>
      <c r="M65"/>
      <c r="N65"/>
      <c r="O65"/>
      <c r="Q65"/>
      <c r="R65"/>
      <c r="S65" s="23"/>
      <c r="T65" s="44"/>
      <c r="U65"/>
      <c r="V65"/>
    </row>
    <row r="66" spans="1:22" s="5" customFormat="1" x14ac:dyDescent="0.2">
      <c r="A66"/>
      <c r="B66"/>
      <c r="C66" s="24"/>
      <c r="D66" s="32"/>
      <c r="E66"/>
      <c r="F66"/>
      <c r="G66" s="4"/>
      <c r="H66"/>
      <c r="I66"/>
      <c r="J66"/>
      <c r="K66"/>
      <c r="L66"/>
      <c r="M66"/>
      <c r="N66"/>
      <c r="O66"/>
      <c r="Q66"/>
      <c r="R66"/>
      <c r="S66" s="23"/>
      <c r="T66" s="44"/>
      <c r="U66"/>
      <c r="V66"/>
    </row>
    <row r="67" spans="1:22" x14ac:dyDescent="0.2">
      <c r="C67" s="24"/>
    </row>
    <row r="68" spans="1:22" x14ac:dyDescent="0.2">
      <c r="C68" s="24"/>
    </row>
    <row r="77" spans="1:22" x14ac:dyDescent="0.2">
      <c r="A77" s="21"/>
    </row>
  </sheetData>
  <mergeCells count="12">
    <mergeCell ref="P4:Q4"/>
    <mergeCell ref="S4:T4"/>
    <mergeCell ref="G3:H3"/>
    <mergeCell ref="J3:K3"/>
    <mergeCell ref="M3:N3"/>
    <mergeCell ref="P3:Q3"/>
    <mergeCell ref="S3:T3"/>
    <mergeCell ref="D3:E3"/>
    <mergeCell ref="D4:E4"/>
    <mergeCell ref="G4:H4"/>
    <mergeCell ref="J4:K4"/>
    <mergeCell ref="M4:N4"/>
  </mergeCells>
  <pageMargins left="0.74803149606299213" right="0.74803149606299213" top="0.98425196850393704" bottom="0.78740157480314965" header="0.51181102362204722" footer="0.51181102362204722"/>
  <pageSetup paperSize="9" scale="62" orientation="portrait" horizontalDpi="4294967295" verticalDpi="4294967295"/>
  <headerFooter alignWithMargins="0">
    <oddFooter>&amp;L&amp;F, &amp;A&amp;R&amp;D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1"/>
  <sheetViews>
    <sheetView topLeftCell="A4" workbookViewId="0">
      <selection activeCell="F31" sqref="F31"/>
    </sheetView>
  </sheetViews>
  <sheetFormatPr defaultColWidth="8.85546875" defaultRowHeight="12.75" x14ac:dyDescent="0.2"/>
  <cols>
    <col min="1" max="1" width="27.42578125" bestFit="1" customWidth="1"/>
    <col min="2" max="3" width="10.28515625" customWidth="1"/>
    <col min="4" max="4" width="9.28515625" bestFit="1" customWidth="1"/>
    <col min="5" max="6" width="10.28515625" bestFit="1" customWidth="1"/>
    <col min="7" max="7" width="10.28515625" customWidth="1"/>
    <col min="8" max="8" width="10.28515625" bestFit="1" customWidth="1"/>
    <col min="9" max="9" width="6.7109375" bestFit="1" customWidth="1"/>
    <col min="10" max="10" width="7.7109375" bestFit="1" customWidth="1"/>
    <col min="11" max="13" width="10.28515625" bestFit="1" customWidth="1"/>
    <col min="14" max="14" width="9.28515625" bestFit="1" customWidth="1"/>
  </cols>
  <sheetData>
    <row r="1" spans="1:14" ht="15.75" x14ac:dyDescent="0.25">
      <c r="A1" s="42" t="s">
        <v>323</v>
      </c>
    </row>
    <row r="2" spans="1:14" ht="12" customHeight="1" x14ac:dyDescent="0.2"/>
    <row r="3" spans="1:14" s="12" customFormat="1" ht="127.5" x14ac:dyDescent="0.2">
      <c r="B3" s="69" t="s">
        <v>291</v>
      </c>
      <c r="C3" s="69" t="s">
        <v>292</v>
      </c>
      <c r="D3" s="69" t="s">
        <v>184</v>
      </c>
      <c r="E3" s="69" t="s">
        <v>186</v>
      </c>
      <c r="F3" s="69" t="s">
        <v>202</v>
      </c>
      <c r="G3" s="69" t="s">
        <v>187</v>
      </c>
      <c r="H3" s="69" t="s">
        <v>301</v>
      </c>
      <c r="I3" s="69" t="s">
        <v>302</v>
      </c>
      <c r="J3" s="69" t="s">
        <v>190</v>
      </c>
      <c r="K3" s="69" t="s">
        <v>324</v>
      </c>
      <c r="L3" s="69" t="s">
        <v>306</v>
      </c>
    </row>
    <row r="5" spans="1:14" s="20" customFormat="1" x14ac:dyDescent="0.2">
      <c r="A5" s="20" t="s">
        <v>191</v>
      </c>
      <c r="B5" s="39">
        <f>+'kolommenbalans 2014'!C29</f>
        <v>7811.4999999999973</v>
      </c>
      <c r="C5" s="39">
        <f>+'kolommenbalans 2014'!D29</f>
        <v>10870.41</v>
      </c>
      <c r="D5" s="39">
        <f>+'kolommenbalans 2014'!E29</f>
        <v>112.35</v>
      </c>
      <c r="E5" s="39">
        <f>+'kolommenbalans 2014'!F29</f>
        <v>-12794.26</v>
      </c>
      <c r="F5" s="39">
        <f>+'kolommenbalans 2014'!G29</f>
        <v>-6000</v>
      </c>
      <c r="G5" s="39">
        <f>+'kolommenbalans 2014'!H29</f>
        <v>0</v>
      </c>
      <c r="H5" s="39"/>
      <c r="I5" s="39"/>
      <c r="J5" s="39">
        <f>+'kolommenbalans 2014'!K29</f>
        <v>0</v>
      </c>
      <c r="K5" s="39"/>
      <c r="L5" s="39"/>
      <c r="M5" s="39">
        <f>SUM(B5:J5)</f>
        <v>-5.4569682106375694E-12</v>
      </c>
      <c r="N5" s="39">
        <f>SUM(I5:J5)</f>
        <v>0</v>
      </c>
    </row>
    <row r="6" spans="1:14" x14ac:dyDescent="0.2">
      <c r="A6" s="70"/>
      <c r="B6" s="32"/>
      <c r="C6" s="32"/>
      <c r="D6" s="32"/>
      <c r="E6" s="32"/>
      <c r="F6" s="32"/>
      <c r="G6" s="32"/>
      <c r="H6" s="32"/>
      <c r="I6" s="32"/>
      <c r="J6" s="32"/>
      <c r="K6" s="32"/>
      <c r="L6" s="32"/>
      <c r="M6" s="39"/>
      <c r="N6" s="32"/>
    </row>
    <row r="7" spans="1:14" x14ac:dyDescent="0.2">
      <c r="A7" s="70" t="s">
        <v>294</v>
      </c>
      <c r="B7" s="32">
        <f>-C7-SUM(D7:J7)</f>
        <v>86.699999999999989</v>
      </c>
      <c r="C7" s="32"/>
      <c r="D7" s="32">
        <v>-112.35</v>
      </c>
      <c r="E7" s="32"/>
      <c r="F7" s="32"/>
      <c r="G7" s="32"/>
      <c r="H7" s="32"/>
      <c r="I7" s="32"/>
      <c r="J7" s="32">
        <v>25.65</v>
      </c>
      <c r="K7" s="32"/>
      <c r="L7" s="32"/>
      <c r="M7" s="39">
        <f>SUM(B7:J7)</f>
        <v>0</v>
      </c>
      <c r="N7" s="32"/>
    </row>
    <row r="8" spans="1:14" x14ac:dyDescent="0.2">
      <c r="A8" s="70" t="s">
        <v>295</v>
      </c>
      <c r="B8" s="32">
        <f>-C8-SUM(D8:J8)</f>
        <v>-2500</v>
      </c>
      <c r="C8" s="32"/>
      <c r="D8" s="32"/>
      <c r="E8" s="32"/>
      <c r="F8" s="32">
        <v>2500</v>
      </c>
      <c r="G8" s="32"/>
      <c r="H8" s="32"/>
      <c r="I8" s="32"/>
      <c r="J8" s="32"/>
      <c r="K8" s="32"/>
      <c r="L8" s="32"/>
      <c r="M8" s="39">
        <f>SUM(B8:J8)</f>
        <v>0</v>
      </c>
      <c r="N8" s="32"/>
    </row>
    <row r="9" spans="1:14" x14ac:dyDescent="0.2">
      <c r="A9" s="70" t="s">
        <v>296</v>
      </c>
      <c r="B9" s="32">
        <f t="shared" ref="B9:B14" si="0">-C9-SUM(D9:J9)</f>
        <v>-3500</v>
      </c>
      <c r="C9" s="32"/>
      <c r="D9" s="32"/>
      <c r="E9" s="32"/>
      <c r="F9" s="32">
        <v>3500</v>
      </c>
      <c r="G9" s="32"/>
      <c r="H9" s="32"/>
      <c r="I9" s="32"/>
      <c r="M9" s="39">
        <f>SUM(B9:J9)</f>
        <v>0</v>
      </c>
      <c r="N9" s="32"/>
    </row>
    <row r="10" spans="1:14" x14ac:dyDescent="0.2">
      <c r="A10" s="70" t="s">
        <v>297</v>
      </c>
      <c r="B10" s="32">
        <f t="shared" si="0"/>
        <v>-25.94</v>
      </c>
      <c r="C10" s="32"/>
      <c r="D10" s="32"/>
      <c r="E10" s="32"/>
      <c r="F10" s="32"/>
      <c r="G10" s="32"/>
      <c r="H10" s="32"/>
      <c r="I10" s="32"/>
      <c r="J10" s="32">
        <v>25.94</v>
      </c>
      <c r="K10" s="32"/>
      <c r="L10" s="32"/>
      <c r="M10" s="39">
        <f>SUM(B10:J10)-K10-L10</f>
        <v>0</v>
      </c>
      <c r="N10" s="32"/>
    </row>
    <row r="11" spans="1:14" x14ac:dyDescent="0.2">
      <c r="A11" s="70" t="s">
        <v>298</v>
      </c>
      <c r="B11" s="32">
        <f>-C11-SUM(D11:G11)+H11+I11-J11-K11-L11</f>
        <v>1252.3099999999995</v>
      </c>
      <c r="C11" s="32"/>
      <c r="D11" s="32"/>
      <c r="E11" s="32"/>
      <c r="F11" s="32"/>
      <c r="G11" s="32"/>
      <c r="H11" s="32">
        <v>13000</v>
      </c>
      <c r="I11" s="32"/>
      <c r="J11" s="32"/>
      <c r="K11" s="32">
        <v>11747.69</v>
      </c>
      <c r="M11" s="39">
        <f>+H11-K11-B11</f>
        <v>0</v>
      </c>
      <c r="N11" s="32"/>
    </row>
    <row r="12" spans="1:14" x14ac:dyDescent="0.2">
      <c r="A12" s="70" t="s">
        <v>325</v>
      </c>
      <c r="B12" s="32">
        <f>-C12-SUM(D12:G12)+H12+I12-J12-K12-L12</f>
        <v>-1025.07</v>
      </c>
      <c r="C12" s="32"/>
      <c r="D12" s="32"/>
      <c r="E12" s="32"/>
      <c r="F12" s="32"/>
      <c r="G12" s="32"/>
      <c r="H12" s="32"/>
      <c r="I12" s="32"/>
      <c r="J12" s="32">
        <v>25.07</v>
      </c>
      <c r="K12" s="32">
        <v>1000</v>
      </c>
      <c r="L12" s="32"/>
      <c r="M12" s="39">
        <f>SUM(B12:K12)</f>
        <v>0</v>
      </c>
      <c r="N12" s="32"/>
    </row>
    <row r="13" spans="1:14" x14ac:dyDescent="0.2">
      <c r="A13" s="70" t="s">
        <v>326</v>
      </c>
      <c r="B13" s="32">
        <f t="shared" si="0"/>
        <v>-26.72</v>
      </c>
      <c r="C13" s="32"/>
      <c r="D13" s="32"/>
      <c r="E13" s="32"/>
      <c r="F13" s="32"/>
      <c r="G13" s="32"/>
      <c r="H13" s="32"/>
      <c r="I13" s="32"/>
      <c r="J13" s="32">
        <v>26.72</v>
      </c>
      <c r="K13" s="32"/>
      <c r="L13" s="32"/>
      <c r="M13" s="39">
        <f>SUM(B13:J13)</f>
        <v>0</v>
      </c>
      <c r="N13" s="32"/>
    </row>
    <row r="14" spans="1:14" x14ac:dyDescent="0.2">
      <c r="A14" s="70" t="s">
        <v>329</v>
      </c>
      <c r="B14" s="32">
        <f t="shared" si="0"/>
        <v>-59.9</v>
      </c>
      <c r="C14" s="32"/>
      <c r="D14" s="32"/>
      <c r="E14" s="32"/>
      <c r="F14" s="32"/>
      <c r="G14" s="32"/>
      <c r="H14" s="32"/>
      <c r="I14" s="32"/>
      <c r="J14" s="32">
        <v>59.9</v>
      </c>
      <c r="K14" s="32"/>
      <c r="L14" s="32"/>
      <c r="M14" s="39">
        <f>SUM(B14:J14)</f>
        <v>0</v>
      </c>
      <c r="N14" s="32"/>
    </row>
    <row r="15" spans="1:14" x14ac:dyDescent="0.2">
      <c r="A15" s="70" t="s">
        <v>346</v>
      </c>
      <c r="B15" s="32">
        <f>SUM(D15:I15)</f>
        <v>8500</v>
      </c>
      <c r="C15" s="32"/>
      <c r="D15" s="32"/>
      <c r="E15" s="32"/>
      <c r="F15" s="32"/>
      <c r="G15" s="32"/>
      <c r="H15" s="32">
        <f>1000+7500</f>
        <v>8500</v>
      </c>
      <c r="I15" s="32"/>
      <c r="J15" s="32"/>
      <c r="K15" s="32"/>
      <c r="L15" s="32"/>
      <c r="M15" s="39"/>
      <c r="N15" s="32"/>
    </row>
    <row r="16" spans="1:14" s="84" customFormat="1" x14ac:dyDescent="0.2">
      <c r="A16" s="81" t="s">
        <v>347</v>
      </c>
      <c r="B16" s="82"/>
      <c r="C16" s="82">
        <f>+I16</f>
        <v>53.83</v>
      </c>
      <c r="D16" s="82"/>
      <c r="E16" s="82"/>
      <c r="F16" s="82"/>
      <c r="G16" s="82"/>
      <c r="H16" s="82"/>
      <c r="I16" s="82">
        <v>53.83</v>
      </c>
      <c r="J16" s="82"/>
      <c r="K16" s="82"/>
      <c r="L16" s="82"/>
      <c r="M16" s="83">
        <f>+C16-I16</f>
        <v>0</v>
      </c>
      <c r="N16" s="82"/>
    </row>
    <row r="17" spans="1:14" x14ac:dyDescent="0.2">
      <c r="B17" s="32"/>
      <c r="C17" s="32"/>
      <c r="D17" s="32"/>
      <c r="E17" s="32"/>
      <c r="F17" s="32"/>
      <c r="G17" s="32"/>
      <c r="H17" s="32"/>
      <c r="I17" s="32"/>
      <c r="J17" s="32"/>
      <c r="K17" s="32"/>
      <c r="L17" s="32"/>
      <c r="M17" s="32"/>
      <c r="N17" s="32"/>
    </row>
    <row r="18" spans="1:14" s="20" customFormat="1" x14ac:dyDescent="0.2">
      <c r="A18" s="20" t="s">
        <v>203</v>
      </c>
      <c r="B18" s="39">
        <f>SUM(B5:B17)</f>
        <v>10512.879999999997</v>
      </c>
      <c r="C18" s="39">
        <f t="shared" ref="C18:I18" si="1">SUM(C5:C17)</f>
        <v>10924.24</v>
      </c>
      <c r="D18" s="39">
        <f t="shared" si="1"/>
        <v>0</v>
      </c>
      <c r="E18" s="39">
        <f t="shared" si="1"/>
        <v>-12794.26</v>
      </c>
      <c r="F18" s="39">
        <f t="shared" si="1"/>
        <v>0</v>
      </c>
      <c r="G18" s="39">
        <f t="shared" si="1"/>
        <v>0</v>
      </c>
      <c r="H18" s="39">
        <f t="shared" si="1"/>
        <v>21500</v>
      </c>
      <c r="I18" s="39">
        <f t="shared" si="1"/>
        <v>53.83</v>
      </c>
      <c r="J18" s="39">
        <f>SUM(J5:J17)</f>
        <v>163.28</v>
      </c>
      <c r="K18" s="39">
        <f>SUM(K5:K17)</f>
        <v>12747.69</v>
      </c>
      <c r="L18" s="39">
        <f>SUM(L5:L17)</f>
        <v>0</v>
      </c>
      <c r="M18" s="39">
        <f>SUM(B18:G18)-SUM(H18:I18)+SUM(J18:L18)</f>
        <v>0</v>
      </c>
      <c r="N18" s="39"/>
    </row>
    <row r="19" spans="1:14" s="20" customFormat="1" x14ac:dyDescent="0.2">
      <c r="B19" s="39"/>
      <c r="C19" s="39"/>
      <c r="D19" s="39"/>
      <c r="E19" s="39"/>
      <c r="F19" s="39"/>
      <c r="G19" s="39"/>
      <c r="H19" s="39"/>
      <c r="I19" s="39"/>
      <c r="J19" s="39"/>
      <c r="K19" s="39"/>
      <c r="L19" s="39"/>
      <c r="M19" s="39"/>
      <c r="N19" s="39"/>
    </row>
    <row r="20" spans="1:14" x14ac:dyDescent="0.2">
      <c r="A20" s="20" t="s">
        <v>199</v>
      </c>
      <c r="B20" s="32"/>
      <c r="C20" s="32"/>
      <c r="D20" s="32"/>
      <c r="E20" s="32"/>
      <c r="F20" s="32"/>
      <c r="G20" s="32"/>
      <c r="H20" s="32"/>
      <c r="I20" s="32"/>
      <c r="J20" s="32"/>
      <c r="K20" s="32"/>
      <c r="L20" s="32"/>
      <c r="M20" s="32"/>
      <c r="N20" s="32"/>
    </row>
    <row r="21" spans="1:14" x14ac:dyDescent="0.2">
      <c r="A21" s="70" t="s">
        <v>219</v>
      </c>
      <c r="B21" s="32"/>
      <c r="C21" s="32"/>
      <c r="D21" s="32">
        <f>+'overloop 2015'!C33</f>
        <v>163.28</v>
      </c>
      <c r="E21" s="32"/>
      <c r="F21" s="32"/>
      <c r="G21" s="32"/>
      <c r="H21" s="32"/>
      <c r="I21" s="32"/>
      <c r="J21" s="32">
        <f>-D21</f>
        <v>-163.28</v>
      </c>
      <c r="K21" s="32"/>
      <c r="L21" s="32"/>
      <c r="M21" s="32">
        <f>SUM(B21:L21)</f>
        <v>0</v>
      </c>
      <c r="N21" s="32"/>
    </row>
    <row r="22" spans="1:14" x14ac:dyDescent="0.2">
      <c r="A22" s="20" t="s">
        <v>341</v>
      </c>
      <c r="B22" s="32"/>
      <c r="C22" s="32"/>
      <c r="D22" s="32"/>
      <c r="E22" s="32"/>
      <c r="F22" s="32"/>
      <c r="G22" s="32"/>
      <c r="H22" s="32"/>
      <c r="I22" s="32"/>
      <c r="J22" s="32"/>
      <c r="K22" s="32"/>
      <c r="L22" s="32"/>
      <c r="M22" s="32">
        <f>SUM(B22:L22)</f>
        <v>0</v>
      </c>
      <c r="N22" s="32"/>
    </row>
    <row r="23" spans="1:14" x14ac:dyDescent="0.2">
      <c r="A23" s="20" t="s">
        <v>342</v>
      </c>
      <c r="B23" s="32"/>
      <c r="C23" s="32"/>
      <c r="D23" s="32"/>
      <c r="E23" s="32"/>
      <c r="F23" s="32">
        <f>-'overloop 2015'!C39</f>
        <v>-1252.3099999999995</v>
      </c>
      <c r="G23" s="32"/>
      <c r="H23" s="32"/>
      <c r="I23" s="32"/>
      <c r="J23" s="32"/>
      <c r="L23" s="32">
        <v>1252.31</v>
      </c>
      <c r="M23" s="32">
        <f>SUM(B23:L23)</f>
        <v>0</v>
      </c>
      <c r="N23" s="32"/>
    </row>
    <row r="24" spans="1:14" x14ac:dyDescent="0.2">
      <c r="A24" s="70" t="s">
        <v>327</v>
      </c>
      <c r="B24" s="32"/>
      <c r="C24" s="32"/>
      <c r="D24" s="32"/>
      <c r="E24" s="32"/>
      <c r="F24" s="32">
        <v>-5500</v>
      </c>
      <c r="G24" s="32"/>
      <c r="H24" s="32"/>
      <c r="I24" s="32"/>
      <c r="J24" s="32"/>
      <c r="L24" s="32">
        <v>5500</v>
      </c>
      <c r="M24" s="32">
        <f>SUM(B24:L24)</f>
        <v>0</v>
      </c>
      <c r="N24" s="32"/>
    </row>
    <row r="25" spans="1:14" x14ac:dyDescent="0.2">
      <c r="A25" s="70" t="s">
        <v>363</v>
      </c>
      <c r="B25" s="32"/>
      <c r="C25" s="32"/>
      <c r="D25" s="32"/>
      <c r="L25" s="32"/>
      <c r="M25" s="32">
        <f>SUM(B25:J25)</f>
        <v>0</v>
      </c>
      <c r="N25" s="32"/>
    </row>
    <row r="26" spans="1:14" x14ac:dyDescent="0.2">
      <c r="B26" s="32"/>
      <c r="C26" s="32"/>
      <c r="D26" s="32"/>
      <c r="E26" s="32"/>
      <c r="F26" s="32"/>
      <c r="G26" s="32"/>
      <c r="H26" s="32"/>
      <c r="I26" s="32"/>
      <c r="J26" s="32"/>
      <c r="K26" s="32"/>
      <c r="L26" s="32"/>
      <c r="M26" s="32"/>
      <c r="N26" s="32"/>
    </row>
    <row r="27" spans="1:14" s="20" customFormat="1" x14ac:dyDescent="0.2">
      <c r="A27" s="20" t="s">
        <v>194</v>
      </c>
      <c r="B27" s="39">
        <f t="shared" ref="B27:L27" si="2">+SUM(B18:B26)</f>
        <v>10512.879999999997</v>
      </c>
      <c r="C27" s="39">
        <f t="shared" si="2"/>
        <v>10924.24</v>
      </c>
      <c r="D27" s="39">
        <f t="shared" si="2"/>
        <v>163.28</v>
      </c>
      <c r="E27" s="39">
        <f t="shared" si="2"/>
        <v>-12794.26</v>
      </c>
      <c r="F27" s="39">
        <f t="shared" si="2"/>
        <v>-6752.3099999999995</v>
      </c>
      <c r="G27" s="39">
        <f t="shared" si="2"/>
        <v>0</v>
      </c>
      <c r="H27" s="39">
        <f t="shared" si="2"/>
        <v>21500</v>
      </c>
      <c r="I27" s="39">
        <f t="shared" si="2"/>
        <v>53.83</v>
      </c>
      <c r="J27" s="39">
        <f t="shared" si="2"/>
        <v>0</v>
      </c>
      <c r="K27" s="39">
        <f t="shared" si="2"/>
        <v>12747.69</v>
      </c>
      <c r="L27" s="39">
        <f t="shared" si="2"/>
        <v>6752.3099999999995</v>
      </c>
      <c r="M27" s="39">
        <f>SUM(B27:G27)-SUM(H27:I27)+SUM(J27:L27)</f>
        <v>0</v>
      </c>
      <c r="N27" s="39"/>
    </row>
    <row r="28" spans="1:14" x14ac:dyDescent="0.2">
      <c r="B28" s="32"/>
      <c r="C28" s="32"/>
      <c r="D28" s="32"/>
      <c r="E28" s="32"/>
      <c r="F28" s="32"/>
      <c r="G28" s="32"/>
      <c r="H28" s="32"/>
      <c r="I28" s="32"/>
      <c r="J28" s="32"/>
      <c r="K28" s="32"/>
      <c r="L28" s="32"/>
      <c r="M28" s="32"/>
      <c r="N28" s="32"/>
    </row>
    <row r="29" spans="1:14" s="20" customFormat="1" x14ac:dyDescent="0.2">
      <c r="A29" s="20" t="s">
        <v>328</v>
      </c>
      <c r="B29" s="39"/>
      <c r="C29" s="39"/>
      <c r="E29" s="32">
        <f>+SUM(H29:I29)-SUM(K29:L29)</f>
        <v>-2053.8300000000017</v>
      </c>
      <c r="F29" s="32"/>
      <c r="G29" s="32"/>
      <c r="H29" s="32">
        <v>-21500</v>
      </c>
      <c r="I29" s="32">
        <f>-I18</f>
        <v>-53.83</v>
      </c>
      <c r="J29" s="32"/>
      <c r="K29" s="32">
        <f>-K18</f>
        <v>-12747.69</v>
      </c>
      <c r="L29" s="39">
        <f>-L27</f>
        <v>-6752.3099999999995</v>
      </c>
      <c r="M29" s="39"/>
      <c r="N29" s="39"/>
    </row>
    <row r="30" spans="1:14" x14ac:dyDescent="0.2">
      <c r="B30" s="32"/>
      <c r="C30" s="32"/>
      <c r="D30" s="32"/>
      <c r="E30" s="32"/>
      <c r="F30" s="32"/>
      <c r="G30" s="32"/>
      <c r="H30" s="32"/>
      <c r="I30" s="32"/>
      <c r="J30" s="32"/>
      <c r="K30" s="32"/>
      <c r="L30" s="32"/>
      <c r="M30" s="32"/>
      <c r="N30" s="32"/>
    </row>
    <row r="31" spans="1:14" s="20" customFormat="1" x14ac:dyDescent="0.2">
      <c r="A31" s="20" t="s">
        <v>240</v>
      </c>
      <c r="B31" s="39">
        <f>+B27+B29</f>
        <v>10512.879999999997</v>
      </c>
      <c r="C31" s="39">
        <f>+C27+C29</f>
        <v>10924.24</v>
      </c>
      <c r="D31" s="39">
        <f>+D27+D29</f>
        <v>163.28</v>
      </c>
      <c r="E31" s="39">
        <f t="shared" ref="E31:L31" si="3">+E27+E29</f>
        <v>-14848.090000000002</v>
      </c>
      <c r="F31" s="39">
        <f t="shared" si="3"/>
        <v>-6752.3099999999995</v>
      </c>
      <c r="G31" s="39">
        <f t="shared" si="3"/>
        <v>0</v>
      </c>
      <c r="H31" s="39">
        <f t="shared" si="3"/>
        <v>0</v>
      </c>
      <c r="I31" s="39">
        <f t="shared" si="3"/>
        <v>0</v>
      </c>
      <c r="J31" s="39">
        <f t="shared" si="3"/>
        <v>0</v>
      </c>
      <c r="K31" s="39">
        <f t="shared" si="3"/>
        <v>0</v>
      </c>
      <c r="L31" s="39">
        <f t="shared" si="3"/>
        <v>0</v>
      </c>
      <c r="M31" s="39">
        <f>SUM(B31:G31)</f>
        <v>-7.2759576141834259E-12</v>
      </c>
      <c r="N31" s="39"/>
    </row>
  </sheetData>
  <pageMargins left="0.74803149606299213" right="0.74803149606299213" top="0.98425196850393704" bottom="0.98425196850393704" header="0.51181102362204722" footer="0.51181102362204722"/>
  <pageSetup paperSize="9" scale="90" orientation="landscape" horizontalDpi="4294967295" verticalDpi="4294967295"/>
  <headerFooter alignWithMargins="0">
    <oddFooter>&amp;L&amp;F, &amp;A&amp;R&amp;D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47"/>
  <sheetViews>
    <sheetView topLeftCell="A13" zoomScaleNormal="100" workbookViewId="0">
      <selection activeCell="A44" sqref="A44:C47"/>
    </sheetView>
  </sheetViews>
  <sheetFormatPr defaultColWidth="8.85546875" defaultRowHeight="12.75" x14ac:dyDescent="0.2"/>
  <cols>
    <col min="1" max="1" width="9.28515625" bestFit="1" customWidth="1"/>
    <col min="2" max="2" width="27.42578125" bestFit="1" customWidth="1"/>
    <col min="3" max="3" width="14" style="44" bestFit="1" customWidth="1"/>
  </cols>
  <sheetData>
    <row r="1" spans="1:6" s="42" customFormat="1" ht="15.75" x14ac:dyDescent="0.25">
      <c r="A1" s="42" t="s">
        <v>322</v>
      </c>
      <c r="C1" s="43"/>
    </row>
    <row r="4" spans="1:6" x14ac:dyDescent="0.2">
      <c r="C4" s="33" t="s">
        <v>73</v>
      </c>
    </row>
    <row r="5" spans="1:6" s="54" customFormat="1" x14ac:dyDescent="0.2">
      <c r="A5" s="53"/>
      <c r="B5" s="53"/>
      <c r="C5" s="53"/>
      <c r="D5" s="53"/>
      <c r="E5" s="53"/>
      <c r="F5" s="53"/>
    </row>
    <row r="7" spans="1:6" x14ac:dyDescent="0.2">
      <c r="A7" s="70" t="s">
        <v>286</v>
      </c>
    </row>
    <row r="8" spans="1:6" x14ac:dyDescent="0.2">
      <c r="A8" t="s">
        <v>79</v>
      </c>
    </row>
    <row r="9" spans="1:6" x14ac:dyDescent="0.2">
      <c r="A9" t="s">
        <v>77</v>
      </c>
      <c r="C9" s="32">
        <v>25.65</v>
      </c>
    </row>
    <row r="11" spans="1:6" x14ac:dyDescent="0.2">
      <c r="A11" s="70" t="s">
        <v>333</v>
      </c>
    </row>
    <row r="12" spans="1:6" x14ac:dyDescent="0.2">
      <c r="A12" t="s">
        <v>79</v>
      </c>
      <c r="C12" s="78">
        <v>25.94</v>
      </c>
    </row>
    <row r="13" spans="1:6" x14ac:dyDescent="0.2">
      <c r="A13" t="s">
        <v>77</v>
      </c>
    </row>
    <row r="15" spans="1:6" x14ac:dyDescent="0.2">
      <c r="A15" s="70" t="s">
        <v>334</v>
      </c>
    </row>
    <row r="16" spans="1:6" x14ac:dyDescent="0.2">
      <c r="A16" t="s">
        <v>79</v>
      </c>
      <c r="C16" s="44">
        <v>25.07</v>
      </c>
    </row>
    <row r="17" spans="1:3" x14ac:dyDescent="0.2">
      <c r="A17" t="s">
        <v>77</v>
      </c>
    </row>
    <row r="19" spans="1:3" x14ac:dyDescent="0.2">
      <c r="A19" s="70" t="s">
        <v>335</v>
      </c>
    </row>
    <row r="20" spans="1:3" x14ac:dyDescent="0.2">
      <c r="A20" t="s">
        <v>79</v>
      </c>
      <c r="C20" s="44">
        <v>26.72</v>
      </c>
    </row>
    <row r="21" spans="1:3" x14ac:dyDescent="0.2">
      <c r="A21" t="s">
        <v>77</v>
      </c>
    </row>
    <row r="23" spans="1:3" x14ac:dyDescent="0.2">
      <c r="A23" s="70" t="s">
        <v>336</v>
      </c>
    </row>
    <row r="24" spans="1:3" x14ac:dyDescent="0.2">
      <c r="A24" t="s">
        <v>79</v>
      </c>
    </row>
    <row r="25" spans="1:3" x14ac:dyDescent="0.2">
      <c r="A25" t="s">
        <v>77</v>
      </c>
    </row>
    <row r="27" spans="1:3" x14ac:dyDescent="0.2">
      <c r="A27" s="70" t="s">
        <v>269</v>
      </c>
    </row>
    <row r="28" spans="1:3" x14ac:dyDescent="0.2">
      <c r="A28" t="s">
        <v>79</v>
      </c>
      <c r="C28" s="44">
        <v>59.9</v>
      </c>
    </row>
    <row r="29" spans="1:3" x14ac:dyDescent="0.2">
      <c r="A29" t="s">
        <v>77</v>
      </c>
    </row>
    <row r="30" spans="1:3" x14ac:dyDescent="0.2">
      <c r="C30" s="73"/>
    </row>
    <row r="31" spans="1:3" x14ac:dyDescent="0.2">
      <c r="B31" s="55"/>
    </row>
    <row r="32" spans="1:3" x14ac:dyDescent="0.2">
      <c r="A32" s="20" t="s">
        <v>330</v>
      </c>
    </row>
    <row r="33" spans="1:3" x14ac:dyDescent="0.2">
      <c r="A33" s="20" t="s">
        <v>208</v>
      </c>
      <c r="C33" s="39">
        <f>SUM(C6:C31)</f>
        <v>163.28</v>
      </c>
    </row>
    <row r="34" spans="1:3" x14ac:dyDescent="0.2">
      <c r="A34" s="20" t="s">
        <v>209</v>
      </c>
    </row>
    <row r="36" spans="1:3" x14ac:dyDescent="0.2">
      <c r="A36" s="20" t="s">
        <v>337</v>
      </c>
    </row>
    <row r="37" spans="1:3" x14ac:dyDescent="0.2">
      <c r="A37" s="70" t="s">
        <v>338</v>
      </c>
      <c r="C37" s="44">
        <v>0</v>
      </c>
    </row>
    <row r="39" spans="1:3" x14ac:dyDescent="0.2">
      <c r="A39" s="20" t="s">
        <v>339</v>
      </c>
      <c r="C39" s="39">
        <f>13000-11747.69</f>
        <v>1252.3099999999995</v>
      </c>
    </row>
    <row r="40" spans="1:3" s="20" customFormat="1" x14ac:dyDescent="0.2">
      <c r="A40" s="70" t="s">
        <v>340</v>
      </c>
      <c r="C40" s="39"/>
    </row>
    <row r="41" spans="1:3" s="20" customFormat="1" x14ac:dyDescent="0.2">
      <c r="C41" s="39"/>
    </row>
    <row r="42" spans="1:3" s="20" customFormat="1" x14ac:dyDescent="0.2"/>
    <row r="44" spans="1:3" x14ac:dyDescent="0.2">
      <c r="A44" s="70" t="s">
        <v>409</v>
      </c>
    </row>
    <row r="45" spans="1:3" x14ac:dyDescent="0.2">
      <c r="B45" s="70" t="s">
        <v>406</v>
      </c>
      <c r="C45" s="44">
        <v>3000</v>
      </c>
    </row>
    <row r="46" spans="1:3" x14ac:dyDescent="0.2">
      <c r="B46" s="70" t="s">
        <v>407</v>
      </c>
      <c r="C46" s="44">
        <v>2500</v>
      </c>
    </row>
    <row r="47" spans="1:3" x14ac:dyDescent="0.2">
      <c r="B47" s="70" t="s">
        <v>408</v>
      </c>
      <c r="C47" s="39">
        <v>5500</v>
      </c>
    </row>
  </sheetData>
  <pageMargins left="0.75" right="0.75" top="1" bottom="1" header="0.5" footer="0.5"/>
  <pageSetup paperSize="274" orientation="portrait"/>
  <headerFooter alignWithMargins="0">
    <oddFooter>&amp;L&amp;F, &amp;A&amp;R&amp;D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30"/>
  <sheetViews>
    <sheetView topLeftCell="A7" zoomScaleNormal="100" workbookViewId="0">
      <selection activeCell="G42" sqref="G42"/>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3" max="13" width="9.140625" style="4" customWidth="1"/>
    <col min="15" max="15" width="2.42578125" customWidth="1"/>
    <col min="18" max="18" width="2.42578125" customWidth="1"/>
  </cols>
  <sheetData>
    <row r="1" spans="1:20" ht="20.25" x14ac:dyDescent="0.3">
      <c r="A1" s="10" t="s">
        <v>69</v>
      </c>
    </row>
    <row r="3" spans="1:20" x14ac:dyDescent="0.2">
      <c r="D3" s="264">
        <v>42004</v>
      </c>
      <c r="E3" s="264"/>
      <c r="G3" s="264">
        <v>41639</v>
      </c>
      <c r="H3" s="264"/>
      <c r="J3" s="264">
        <v>41274</v>
      </c>
      <c r="K3" s="264"/>
      <c r="M3" s="264">
        <v>40908</v>
      </c>
      <c r="N3" s="264"/>
      <c r="P3" s="264">
        <v>40543</v>
      </c>
      <c r="Q3" s="264"/>
      <c r="R3" s="34"/>
      <c r="S3" s="264">
        <v>40178</v>
      </c>
      <c r="T3" s="264"/>
    </row>
    <row r="4" spans="1:20" x14ac:dyDescent="0.2">
      <c r="D4" s="248" t="s">
        <v>73</v>
      </c>
      <c r="E4" s="248"/>
      <c r="G4" s="248" t="s">
        <v>73</v>
      </c>
      <c r="H4" s="248"/>
      <c r="J4" s="248" t="s">
        <v>73</v>
      </c>
      <c r="K4" s="248"/>
      <c r="M4" s="248" t="s">
        <v>73</v>
      </c>
      <c r="N4" s="248"/>
      <c r="P4" s="248" t="s">
        <v>73</v>
      </c>
      <c r="Q4" s="248"/>
      <c r="R4" s="35"/>
      <c r="S4" s="248" t="s">
        <v>73</v>
      </c>
      <c r="T4" s="248"/>
    </row>
    <row r="5" spans="1:20" ht="15.75" x14ac:dyDescent="0.25">
      <c r="A5" s="2" t="s">
        <v>21</v>
      </c>
      <c r="E5" s="8"/>
      <c r="H5" s="8"/>
      <c r="K5" s="8"/>
      <c r="N5" s="8"/>
      <c r="P5" s="5"/>
      <c r="Q5" s="8"/>
      <c r="R5" s="7"/>
      <c r="S5" s="5"/>
      <c r="T5" s="8"/>
    </row>
    <row r="6" spans="1:20" s="12" customFormat="1" ht="19.5" customHeight="1" x14ac:dyDescent="0.2">
      <c r="A6" s="11" t="s">
        <v>23</v>
      </c>
      <c r="D6" s="68"/>
      <c r="E6" s="14"/>
      <c r="G6" s="68"/>
      <c r="H6" s="14"/>
      <c r="J6" s="68"/>
      <c r="K6" s="14"/>
      <c r="M6" s="68"/>
      <c r="N6" s="14"/>
      <c r="P6" s="13"/>
      <c r="Q6" s="14"/>
      <c r="R6" s="36"/>
      <c r="S6" s="13"/>
      <c r="T6" s="14"/>
    </row>
    <row r="7" spans="1:20" x14ac:dyDescent="0.2">
      <c r="A7" t="s">
        <v>25</v>
      </c>
      <c r="E7" s="8">
        <v>0</v>
      </c>
      <c r="H7" s="8">
        <v>0</v>
      </c>
      <c r="K7" s="8">
        <v>0</v>
      </c>
      <c r="N7" s="8">
        <v>0</v>
      </c>
      <c r="P7" s="5"/>
      <c r="Q7" s="8">
        <v>0</v>
      </c>
      <c r="R7" s="7"/>
      <c r="S7" s="5"/>
      <c r="T7" s="8">
        <v>0</v>
      </c>
    </row>
    <row r="8" spans="1:20" x14ac:dyDescent="0.2">
      <c r="E8" s="8"/>
      <c r="H8" s="8"/>
      <c r="K8" s="8"/>
      <c r="N8" s="8"/>
      <c r="P8" s="5"/>
      <c r="Q8" s="8"/>
      <c r="R8" s="7"/>
      <c r="S8" s="5"/>
      <c r="T8" s="8"/>
    </row>
    <row r="9" spans="1:20" s="12" customFormat="1" ht="19.5" customHeight="1" x14ac:dyDescent="0.2">
      <c r="A9" s="11" t="s">
        <v>24</v>
      </c>
      <c r="D9" s="68"/>
      <c r="E9" s="14"/>
      <c r="G9" s="68"/>
      <c r="H9" s="14"/>
      <c r="J9" s="68"/>
      <c r="K9" s="14"/>
      <c r="M9" s="68"/>
      <c r="N9" s="14"/>
      <c r="P9" s="13"/>
      <c r="Q9" s="14"/>
      <c r="R9" s="36"/>
      <c r="S9" s="13"/>
      <c r="T9" s="14"/>
    </row>
    <row r="10" spans="1:20" x14ac:dyDescent="0.2">
      <c r="A10" t="s">
        <v>26</v>
      </c>
      <c r="D10" s="4">
        <f>+'kolommenbalans 2014'!E29</f>
        <v>112.35</v>
      </c>
      <c r="E10" s="15"/>
      <c r="G10" s="4">
        <v>99.669999999999987</v>
      </c>
      <c r="H10" s="15"/>
      <c r="J10" s="4">
        <v>62.07</v>
      </c>
      <c r="K10" s="15"/>
      <c r="M10" s="4">
        <v>69.2</v>
      </c>
      <c r="N10" s="15"/>
      <c r="P10" s="5">
        <v>0</v>
      </c>
      <c r="Q10" s="15"/>
      <c r="R10" s="26"/>
      <c r="S10" s="5">
        <v>0</v>
      </c>
      <c r="T10" s="15"/>
    </row>
    <row r="11" spans="1:20" ht="13.5" thickBot="1" x14ac:dyDescent="0.25">
      <c r="A11" t="s">
        <v>304</v>
      </c>
      <c r="D11" s="9">
        <f>+'kolommenbalans 2014'!C29+'kolommenbalans 2014'!D29</f>
        <v>18681.909999999996</v>
      </c>
      <c r="E11" s="8"/>
      <c r="G11" s="9">
        <v>18624.18</v>
      </c>
      <c r="H11" s="8"/>
      <c r="J11" s="9">
        <v>11168.810000000001</v>
      </c>
      <c r="K11" s="8"/>
      <c r="M11" s="9">
        <v>10533.65</v>
      </c>
      <c r="N11" s="8"/>
      <c r="P11" s="6">
        <v>6086.88</v>
      </c>
      <c r="Q11" s="8"/>
      <c r="R11" s="7"/>
      <c r="S11" s="6">
        <v>635.5</v>
      </c>
      <c r="T11" s="8"/>
    </row>
    <row r="12" spans="1:20" ht="13.5" thickBot="1" x14ac:dyDescent="0.25">
      <c r="E12" s="16">
        <f>+D11+D10</f>
        <v>18794.259999999995</v>
      </c>
      <c r="H12" s="16">
        <v>18723.849999999999</v>
      </c>
      <c r="K12" s="16">
        <v>11230.880000000001</v>
      </c>
      <c r="N12" s="16">
        <v>10602.85</v>
      </c>
      <c r="P12" s="5"/>
      <c r="Q12" s="16">
        <v>6086.88</v>
      </c>
      <c r="R12" s="7"/>
      <c r="S12" s="5"/>
      <c r="T12" s="16">
        <v>635.5</v>
      </c>
    </row>
    <row r="13" spans="1:20" ht="19.5" customHeight="1" x14ac:dyDescent="0.2">
      <c r="A13" s="3"/>
      <c r="C13" s="29" t="s">
        <v>55</v>
      </c>
      <c r="D13" s="30"/>
      <c r="E13" s="18">
        <f>+E12+E7</f>
        <v>18794.259999999995</v>
      </c>
      <c r="F13" s="29"/>
      <c r="G13" s="30"/>
      <c r="H13" s="18">
        <v>18723.849999999999</v>
      </c>
      <c r="I13" s="29"/>
      <c r="J13" s="30"/>
      <c r="K13" s="18">
        <v>11230.880000000001</v>
      </c>
      <c r="L13" s="29"/>
      <c r="M13" s="30"/>
      <c r="N13" s="18">
        <v>10602.85</v>
      </c>
      <c r="O13" s="29"/>
      <c r="P13" s="7"/>
      <c r="Q13" s="18">
        <v>6086.88</v>
      </c>
      <c r="R13" s="37"/>
      <c r="S13" s="7"/>
      <c r="T13" s="18">
        <v>635.5</v>
      </c>
    </row>
    <row r="14" spans="1:20" x14ac:dyDescent="0.2">
      <c r="E14" s="8"/>
      <c r="H14" s="8"/>
      <c r="K14" s="8"/>
      <c r="N14" s="8"/>
      <c r="P14" s="5"/>
      <c r="Q14" s="8"/>
      <c r="R14" s="7"/>
      <c r="S14" s="5"/>
      <c r="T14" s="8"/>
    </row>
    <row r="15" spans="1:20" ht="15.75" x14ac:dyDescent="0.25">
      <c r="A15" s="2" t="s">
        <v>22</v>
      </c>
      <c r="E15" s="8"/>
      <c r="H15" s="8"/>
      <c r="K15" s="8"/>
      <c r="N15" s="8"/>
      <c r="P15" s="5"/>
      <c r="Q15" s="8"/>
      <c r="R15" s="7"/>
      <c r="S15" s="5"/>
      <c r="T15" s="8"/>
    </row>
    <row r="16" spans="1:20" ht="19.5" customHeight="1" x14ac:dyDescent="0.2">
      <c r="A16" s="11" t="s">
        <v>29</v>
      </c>
      <c r="E16" s="8"/>
      <c r="H16" s="8"/>
      <c r="K16" s="8"/>
      <c r="N16" s="8"/>
      <c r="P16" s="5"/>
      <c r="Q16" s="8"/>
      <c r="R16" s="7"/>
      <c r="S16" s="5"/>
      <c r="T16" s="8"/>
    </row>
    <row r="17" spans="1:23" x14ac:dyDescent="0.2">
      <c r="A17" t="s">
        <v>28</v>
      </c>
      <c r="D17" s="5">
        <f>+'kolommenbalans 2014'!F29</f>
        <v>-12794.26</v>
      </c>
      <c r="E17" s="8"/>
      <c r="G17" s="5">
        <v>-11223.85</v>
      </c>
      <c r="H17" s="8"/>
      <c r="J17" s="5">
        <v>635.5</v>
      </c>
      <c r="K17" s="8"/>
      <c r="M17" s="5">
        <v>635.5</v>
      </c>
      <c r="N17" s="8"/>
      <c r="P17" s="5">
        <v>635.5</v>
      </c>
      <c r="Q17" s="8"/>
      <c r="R17" s="7"/>
      <c r="S17" s="5">
        <v>635.5</v>
      </c>
      <c r="T17" s="8"/>
    </row>
    <row r="18" spans="1:23" x14ac:dyDescent="0.2">
      <c r="A18" s="70" t="s">
        <v>305</v>
      </c>
      <c r="D18" s="5">
        <f>+'kolommenbalans 2014'!G29</f>
        <v>-6000</v>
      </c>
      <c r="E18" s="8"/>
      <c r="G18" s="5">
        <v>-7500</v>
      </c>
      <c r="H18" s="8"/>
      <c r="J18" s="5">
        <v>1460</v>
      </c>
      <c r="K18" s="8"/>
      <c r="M18" s="5">
        <v>3130</v>
      </c>
      <c r="N18" s="8"/>
      <c r="P18" s="5">
        <v>0</v>
      </c>
      <c r="Q18" s="8"/>
      <c r="R18" s="7"/>
      <c r="S18" s="5">
        <v>0</v>
      </c>
      <c r="T18" s="8"/>
    </row>
    <row r="19" spans="1:23" ht="13.5" thickBot="1" x14ac:dyDescent="0.25">
      <c r="A19" t="s">
        <v>17</v>
      </c>
      <c r="D19" s="9"/>
      <c r="E19" s="8"/>
      <c r="G19" s="9"/>
      <c r="H19" s="8"/>
      <c r="J19" s="9">
        <v>7458.3500000000013</v>
      </c>
      <c r="K19" s="8"/>
      <c r="M19" s="9">
        <v>-41.450000000000728</v>
      </c>
      <c r="N19" s="8"/>
      <c r="P19" s="6">
        <v>2458.5500000000002</v>
      </c>
      <c r="Q19" s="8"/>
      <c r="R19" s="7"/>
      <c r="S19" s="6">
        <v>0</v>
      </c>
      <c r="T19" s="8"/>
    </row>
    <row r="20" spans="1:23" s="12" customFormat="1" ht="13.5" customHeight="1" x14ac:dyDescent="0.2">
      <c r="D20" s="68"/>
      <c r="E20" s="49">
        <f>+D19+D17+D18</f>
        <v>-18794.260000000002</v>
      </c>
      <c r="G20" s="68"/>
      <c r="H20" s="49">
        <v>-18723.849999999999</v>
      </c>
      <c r="J20" s="68"/>
      <c r="K20" s="49">
        <v>9553.8500000000022</v>
      </c>
      <c r="M20" s="68"/>
      <c r="N20" s="49">
        <v>3724.0499999999993</v>
      </c>
      <c r="P20" s="13"/>
      <c r="Q20" s="49">
        <v>3094.05</v>
      </c>
      <c r="R20" s="50"/>
      <c r="S20" s="50"/>
      <c r="T20" s="49">
        <v>635.5</v>
      </c>
    </row>
    <row r="21" spans="1:23" x14ac:dyDescent="0.2">
      <c r="E21" s="8"/>
      <c r="H21" s="8"/>
      <c r="K21" s="8"/>
      <c r="N21" s="8"/>
      <c r="P21" s="5"/>
      <c r="Q21" s="8"/>
      <c r="R21" s="7"/>
      <c r="S21" s="5"/>
      <c r="T21" s="8"/>
    </row>
    <row r="22" spans="1:23" s="12" customFormat="1" ht="19.5" customHeight="1" thickBot="1" x14ac:dyDescent="0.25">
      <c r="A22" s="11" t="s">
        <v>30</v>
      </c>
      <c r="E22" s="16"/>
      <c r="H22" s="16"/>
      <c r="K22" s="16">
        <v>1677.0299999999997</v>
      </c>
      <c r="N22" s="16">
        <v>6879</v>
      </c>
      <c r="P22" s="13"/>
      <c r="Q22" s="51">
        <v>2993.0299999999997</v>
      </c>
      <c r="R22" s="36"/>
      <c r="S22" s="13"/>
      <c r="T22" s="17">
        <v>0</v>
      </c>
    </row>
    <row r="23" spans="1:23" ht="19.5" customHeight="1" x14ac:dyDescent="0.2">
      <c r="C23" s="29" t="s">
        <v>55</v>
      </c>
      <c r="D23" s="30"/>
      <c r="E23" s="18">
        <f>+E20+E22</f>
        <v>-18794.260000000002</v>
      </c>
      <c r="F23" s="29"/>
      <c r="G23" s="30"/>
      <c r="H23" s="18">
        <v>-18723.849999999999</v>
      </c>
      <c r="I23" s="29"/>
      <c r="J23" s="30"/>
      <c r="K23" s="18">
        <v>11230.880000000001</v>
      </c>
      <c r="L23" s="29"/>
      <c r="M23" s="30"/>
      <c r="N23" s="18">
        <v>10603.05</v>
      </c>
      <c r="O23" s="29"/>
      <c r="P23" s="5"/>
      <c r="Q23" s="18">
        <v>6087.08</v>
      </c>
      <c r="R23" s="37"/>
      <c r="S23" s="5"/>
      <c r="T23" s="18">
        <v>635.5</v>
      </c>
    </row>
    <row r="24" spans="1:23" ht="19.5" customHeight="1" x14ac:dyDescent="0.2">
      <c r="E24" s="18"/>
      <c r="H24" s="18"/>
      <c r="K24" s="18"/>
      <c r="N24" s="18"/>
      <c r="P24" s="5"/>
      <c r="Q24" s="18"/>
      <c r="R24" s="37"/>
      <c r="S24" s="5"/>
      <c r="T24" s="18"/>
    </row>
    <row r="25" spans="1:23" ht="19.5" customHeight="1" x14ac:dyDescent="0.2">
      <c r="E25" s="18"/>
      <c r="H25" s="18"/>
      <c r="K25" s="18"/>
      <c r="N25" s="18"/>
      <c r="P25" s="5"/>
      <c r="Q25" s="18"/>
      <c r="R25" s="37"/>
      <c r="S25" s="5"/>
      <c r="T25" s="18"/>
    </row>
    <row r="26" spans="1:23" x14ac:dyDescent="0.2">
      <c r="P26" s="5"/>
      <c r="Q26" s="7"/>
      <c r="R26" s="7"/>
      <c r="S26" s="5"/>
      <c r="T26" s="7"/>
    </row>
    <row r="27" spans="1:23" x14ac:dyDescent="0.2">
      <c r="E27" s="52"/>
      <c r="H27" s="52"/>
      <c r="K27" s="52"/>
      <c r="N27" s="52"/>
    </row>
    <row r="28" spans="1:23" x14ac:dyDescent="0.2">
      <c r="A28" t="s">
        <v>31</v>
      </c>
      <c r="C28" s="70" t="s">
        <v>307</v>
      </c>
      <c r="Q28" s="22"/>
      <c r="R28" s="22"/>
      <c r="T28" s="22"/>
    </row>
    <row r="29" spans="1:23" x14ac:dyDescent="0.2">
      <c r="A29" t="s">
        <v>34</v>
      </c>
      <c r="W29" s="12"/>
    </row>
    <row r="30" spans="1:23" x14ac:dyDescent="0.2">
      <c r="A30" t="s">
        <v>33</v>
      </c>
    </row>
  </sheetData>
  <mergeCells count="12">
    <mergeCell ref="P3:Q3"/>
    <mergeCell ref="S3:T3"/>
    <mergeCell ref="G4:H4"/>
    <mergeCell ref="J4:K4"/>
    <mergeCell ref="M4:N4"/>
    <mergeCell ref="P4:Q4"/>
    <mergeCell ref="S4:T4"/>
    <mergeCell ref="D3:E3"/>
    <mergeCell ref="D4:E4"/>
    <mergeCell ref="G3:H3"/>
    <mergeCell ref="J3:K3"/>
    <mergeCell ref="M3:N3"/>
  </mergeCells>
  <pageMargins left="0.74803149606299213" right="0.74803149606299213" top="0.98425196850393704" bottom="0.98425196850393704" header="0.51181102362204722" footer="0.51181102362204722"/>
  <pageSetup paperSize="274" scale="87" orientation="landscape"/>
  <headerFooter alignWithMargins="0">
    <oddFooter>&amp;L&amp;F, &amp;A&amp;R&amp;D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BDB16-FB7A-4929-9C07-D1C43EEF8121}">
  <sheetPr>
    <pageSetUpPr fitToPage="1"/>
  </sheetPr>
  <dimension ref="A1:AU57"/>
  <sheetViews>
    <sheetView topLeftCell="A15" zoomScale="101" zoomScaleNormal="100" workbookViewId="0">
      <selection activeCell="E55" sqref="E55"/>
    </sheetView>
  </sheetViews>
  <sheetFormatPr defaultColWidth="8.85546875" defaultRowHeight="12.75" x14ac:dyDescent="0.2"/>
  <cols>
    <col min="1" max="1" width="2.42578125" customWidth="1"/>
    <col min="2" max="2" width="6.85546875" customWidth="1"/>
    <col min="3" max="3" width="25.85546875" customWidth="1"/>
    <col min="4" max="5" width="10.28515625" customWidth="1"/>
    <col min="6" max="6" width="2.42578125" customWidth="1"/>
    <col min="7" max="8" width="10.28515625" customWidth="1"/>
    <col min="9" max="9" width="2.42578125" customWidth="1"/>
    <col min="10" max="10" width="10.28515625" style="32" customWidth="1"/>
    <col min="11" max="11" width="10.28515625" style="4" customWidth="1"/>
    <col min="12" max="12" width="2.42578125" customWidth="1"/>
    <col min="13" max="13" width="10.28515625" style="32" bestFit="1" customWidth="1"/>
    <col min="14" max="14" width="9.7109375" style="4" customWidth="1"/>
    <col min="15" max="15" width="2.42578125" customWidth="1"/>
    <col min="16" max="16" width="10.140625" style="32" customWidth="1"/>
    <col min="17" max="17" width="10.28515625" style="4" customWidth="1"/>
    <col min="18" max="18" width="2.42578125" customWidth="1"/>
    <col min="19" max="19" width="10.140625" style="32" bestFit="1" customWidth="1"/>
    <col min="20" max="20" width="10.140625" bestFit="1" customWidth="1"/>
    <col min="21" max="21" width="2.42578125" customWidth="1"/>
    <col min="22" max="22" width="10.28515625" style="32" bestFit="1" customWidth="1"/>
    <col min="23" max="23" width="10.28515625" bestFit="1" customWidth="1"/>
    <col min="24" max="24" width="2.42578125" customWidth="1"/>
    <col min="25" max="25" width="10.28515625" style="32" bestFit="1" customWidth="1"/>
    <col min="26" max="26" width="10.28515625" bestFit="1" customWidth="1"/>
    <col min="27" max="27" width="2.42578125" customWidth="1"/>
    <col min="28" max="28" width="10.28515625" style="32" customWidth="1"/>
    <col min="30" max="30" width="2.42578125" customWidth="1"/>
    <col min="31" max="31" width="10.28515625" style="4" bestFit="1" customWidth="1"/>
    <col min="33" max="33" width="2.42578125" customWidth="1"/>
    <col min="35" max="35" width="10.28515625" bestFit="1" customWidth="1"/>
    <col min="36" max="36" width="2.42578125" customWidth="1"/>
    <col min="39" max="39" width="2.42578125" customWidth="1"/>
    <col min="40" max="40" width="9.140625" style="5" customWidth="1"/>
    <col min="42" max="42" width="2.42578125" customWidth="1"/>
    <col min="44" max="44" width="10.28515625" customWidth="1"/>
    <col min="45" max="45" width="2.42578125" customWidth="1"/>
    <col min="47" max="47" width="10.28515625" customWidth="1"/>
  </cols>
  <sheetData>
    <row r="1" spans="1:47" ht="20.25" x14ac:dyDescent="0.3">
      <c r="A1" s="10" t="s">
        <v>74</v>
      </c>
    </row>
    <row r="3" spans="1:47" x14ac:dyDescent="0.2">
      <c r="D3" s="233">
        <v>2024</v>
      </c>
      <c r="E3" s="234"/>
      <c r="G3" s="233">
        <v>2023</v>
      </c>
      <c r="H3" s="234"/>
      <c r="J3" s="235" t="s">
        <v>713</v>
      </c>
      <c r="K3" s="236"/>
      <c r="M3" s="235" t="s">
        <v>702</v>
      </c>
      <c r="N3" s="236"/>
      <c r="P3" s="235" t="s">
        <v>640</v>
      </c>
      <c r="Q3" s="236"/>
      <c r="S3" s="249" t="s">
        <v>587</v>
      </c>
      <c r="T3" s="236"/>
      <c r="V3" s="249" t="s">
        <v>513</v>
      </c>
      <c r="W3" s="236"/>
      <c r="X3" s="27"/>
      <c r="Y3" s="249" t="s">
        <v>439</v>
      </c>
      <c r="Z3" s="236"/>
      <c r="AA3" s="27"/>
      <c r="AB3" s="249" t="s">
        <v>369</v>
      </c>
      <c r="AC3" s="236"/>
      <c r="AD3" s="27"/>
      <c r="AE3" s="249" t="s">
        <v>343</v>
      </c>
      <c r="AF3" s="236"/>
      <c r="AG3" s="27"/>
      <c r="AH3" s="249" t="s">
        <v>290</v>
      </c>
      <c r="AI3" s="236"/>
      <c r="AJ3" s="27"/>
      <c r="AK3" s="249" t="s">
        <v>244</v>
      </c>
      <c r="AL3" s="236"/>
      <c r="AM3" s="27"/>
      <c r="AN3" s="249" t="s">
        <v>230</v>
      </c>
      <c r="AO3" s="236"/>
      <c r="AQ3" s="250" t="s">
        <v>368</v>
      </c>
      <c r="AR3" s="236"/>
      <c r="AT3" s="251" t="s">
        <v>75</v>
      </c>
      <c r="AU3" s="236"/>
    </row>
    <row r="4" spans="1:47" x14ac:dyDescent="0.2">
      <c r="D4" s="230" t="s">
        <v>73</v>
      </c>
      <c r="E4" s="231"/>
      <c r="G4" s="230" t="s">
        <v>73</v>
      </c>
      <c r="H4" s="231"/>
      <c r="J4" s="232" t="s">
        <v>73</v>
      </c>
      <c r="K4" s="231"/>
      <c r="M4" s="232" t="s">
        <v>73</v>
      </c>
      <c r="N4" s="231"/>
      <c r="P4" s="232" t="s">
        <v>73</v>
      </c>
      <c r="Q4" s="231"/>
      <c r="S4" s="232" t="s">
        <v>73</v>
      </c>
      <c r="T4" s="231"/>
      <c r="V4" s="232" t="s">
        <v>73</v>
      </c>
      <c r="W4" s="231"/>
      <c r="X4" s="28"/>
      <c r="Y4" s="232" t="s">
        <v>73</v>
      </c>
      <c r="Z4" s="231"/>
      <c r="AA4" s="28"/>
      <c r="AB4" s="232" t="s">
        <v>73</v>
      </c>
      <c r="AC4" s="231"/>
      <c r="AD4" s="28"/>
      <c r="AE4" s="232" t="s">
        <v>73</v>
      </c>
      <c r="AF4" s="231"/>
      <c r="AG4" s="28"/>
      <c r="AH4" s="232" t="s">
        <v>73</v>
      </c>
      <c r="AI4" s="231"/>
      <c r="AJ4" s="28"/>
      <c r="AK4" s="232" t="s">
        <v>73</v>
      </c>
      <c r="AL4" s="231"/>
      <c r="AM4" s="28"/>
      <c r="AN4" s="232" t="s">
        <v>73</v>
      </c>
      <c r="AO4" s="231"/>
      <c r="AQ4" s="232" t="s">
        <v>73</v>
      </c>
      <c r="AR4" s="231"/>
      <c r="AT4" s="232" t="s">
        <v>73</v>
      </c>
      <c r="AU4" s="231"/>
    </row>
    <row r="5" spans="1:47" ht="15.75" x14ac:dyDescent="0.25">
      <c r="A5" s="2" t="s">
        <v>0</v>
      </c>
      <c r="D5" s="32"/>
      <c r="E5" s="8"/>
      <c r="G5" s="32"/>
      <c r="H5" s="8"/>
      <c r="K5" s="8"/>
      <c r="M5" s="32">
        <v>7500</v>
      </c>
      <c r="N5" s="8"/>
      <c r="P5" s="44"/>
      <c r="Q5" s="8"/>
      <c r="S5" s="44"/>
      <c r="T5" s="8"/>
      <c r="V5" s="44"/>
      <c r="W5" s="8"/>
      <c r="X5" s="7"/>
      <c r="Y5" s="44"/>
      <c r="Z5" s="8"/>
      <c r="AA5" s="7"/>
      <c r="AB5" s="44"/>
      <c r="AC5" s="8"/>
      <c r="AD5" s="7"/>
      <c r="AE5" s="44"/>
      <c r="AF5" s="8"/>
      <c r="AG5" s="7"/>
      <c r="AH5" s="5"/>
      <c r="AI5" s="8"/>
      <c r="AJ5" s="7"/>
      <c r="AK5" s="5"/>
      <c r="AL5" s="8"/>
      <c r="AM5" s="7"/>
      <c r="AO5" s="8"/>
      <c r="AQ5" s="5"/>
      <c r="AR5" s="8"/>
      <c r="AT5" s="5"/>
      <c r="AU5" s="8"/>
    </row>
    <row r="6" spans="1:47" x14ac:dyDescent="0.2">
      <c r="A6" t="s">
        <v>11</v>
      </c>
      <c r="D6" s="32">
        <f>-'kolommenbalans 2024'!H43</f>
        <v>7500</v>
      </c>
      <c r="E6" s="8"/>
      <c r="G6" s="32">
        <v>7500</v>
      </c>
      <c r="H6" s="8"/>
      <c r="J6" s="32">
        <f>-'kolommenbalans 2022'!H35</f>
        <v>7500</v>
      </c>
      <c r="K6" s="8"/>
      <c r="N6" s="8"/>
      <c r="P6" s="32">
        <v>7500</v>
      </c>
      <c r="Q6" s="8"/>
      <c r="S6" s="32">
        <f>+'winst en verlies 2019'!D6</f>
        <v>30965.32</v>
      </c>
      <c r="T6" s="8"/>
      <c r="V6" s="32">
        <f>'kolommenbalans 2018'!K44</f>
        <v>19796.57</v>
      </c>
      <c r="W6" s="8"/>
      <c r="X6" s="7"/>
      <c r="Y6" s="32">
        <v>20251.940000000002</v>
      </c>
      <c r="Z6" s="8"/>
      <c r="AA6" s="7"/>
      <c r="AB6" s="32">
        <v>18100</v>
      </c>
      <c r="AC6" s="8"/>
      <c r="AD6" s="7"/>
      <c r="AE6" s="32">
        <v>21500</v>
      </c>
      <c r="AF6" s="8"/>
      <c r="AG6" s="7"/>
      <c r="AH6" s="4">
        <v>7500</v>
      </c>
      <c r="AI6" s="8"/>
      <c r="AJ6" s="7"/>
      <c r="AL6" s="8"/>
      <c r="AM6" s="7"/>
      <c r="AN6"/>
      <c r="AO6" s="8"/>
      <c r="AQ6" s="5">
        <v>7500</v>
      </c>
      <c r="AR6" s="8"/>
      <c r="AU6" s="8"/>
    </row>
    <row r="7" spans="1:47" x14ac:dyDescent="0.2">
      <c r="A7" t="s">
        <v>1</v>
      </c>
      <c r="D7" s="32"/>
      <c r="E7" s="8"/>
      <c r="G7" s="32"/>
      <c r="H7" s="8"/>
      <c r="K7" s="8"/>
      <c r="N7" s="8"/>
      <c r="P7" s="32">
        <v>0</v>
      </c>
      <c r="Q7" s="8"/>
      <c r="S7" s="32">
        <v>0</v>
      </c>
      <c r="T7" s="8"/>
      <c r="V7" s="32">
        <v>0</v>
      </c>
      <c r="W7" s="8"/>
      <c r="X7" s="7"/>
      <c r="Y7" s="32">
        <v>0</v>
      </c>
      <c r="Z7" s="8"/>
      <c r="AA7" s="7"/>
      <c r="AB7" s="32">
        <f>+'winst en verlies 2016'!G7</f>
        <v>0</v>
      </c>
      <c r="AC7" s="8"/>
      <c r="AD7" s="7"/>
      <c r="AE7" s="32">
        <v>0</v>
      </c>
      <c r="AF7" s="8"/>
      <c r="AG7" s="7"/>
      <c r="AH7" s="5">
        <v>0</v>
      </c>
      <c r="AI7" s="8"/>
      <c r="AJ7" s="7"/>
      <c r="AK7" s="5">
        <v>0</v>
      </c>
      <c r="AL7" s="8"/>
      <c r="AM7" s="7"/>
      <c r="AN7" s="5">
        <v>0</v>
      </c>
      <c r="AO7" s="8"/>
      <c r="AQ7" s="5">
        <v>0</v>
      </c>
      <c r="AR7" s="8"/>
      <c r="AT7" s="5">
        <v>0</v>
      </c>
      <c r="AU7" s="8"/>
    </row>
    <row r="8" spans="1:47" x14ac:dyDescent="0.2">
      <c r="A8" t="s">
        <v>2</v>
      </c>
      <c r="D8" s="32"/>
      <c r="E8" s="8"/>
      <c r="G8" s="32"/>
      <c r="H8" s="8"/>
      <c r="K8" s="8"/>
      <c r="M8" s="32">
        <v>168.00000000000003</v>
      </c>
      <c r="N8" s="8"/>
      <c r="P8" s="32">
        <v>0</v>
      </c>
      <c r="Q8" s="8"/>
      <c r="S8" s="32">
        <v>0</v>
      </c>
      <c r="T8" s="8"/>
      <c r="V8" s="32">
        <v>0</v>
      </c>
      <c r="W8" s="8"/>
      <c r="X8" s="7"/>
      <c r="Y8" s="32">
        <v>0</v>
      </c>
      <c r="Z8" s="8"/>
      <c r="AA8" s="7"/>
      <c r="AB8" s="32">
        <f>+'winst en verlies 2016'!G8</f>
        <v>0</v>
      </c>
      <c r="AC8" s="8"/>
      <c r="AD8" s="7"/>
      <c r="AE8" s="32">
        <v>0</v>
      </c>
      <c r="AF8" s="8"/>
      <c r="AG8" s="7"/>
      <c r="AH8" s="5">
        <v>0</v>
      </c>
      <c r="AI8" s="8"/>
      <c r="AJ8" s="7"/>
      <c r="AK8" s="5">
        <v>7500</v>
      </c>
      <c r="AL8" s="8"/>
      <c r="AM8" s="7"/>
      <c r="AN8" s="5">
        <v>7500</v>
      </c>
      <c r="AO8" s="8"/>
      <c r="AQ8" s="5"/>
      <c r="AR8" s="8"/>
      <c r="AT8" s="5">
        <v>7500</v>
      </c>
      <c r="AU8" s="8"/>
    </row>
    <row r="9" spans="1:47" x14ac:dyDescent="0.2">
      <c r="A9" s="70" t="s">
        <v>432</v>
      </c>
      <c r="D9" s="32">
        <f>+'kolommenbalans 2024'!D39</f>
        <v>330.95000000000005</v>
      </c>
      <c r="E9" s="8"/>
      <c r="G9" s="32">
        <f>+H43</f>
        <v>372.89999999999986</v>
      </c>
      <c r="H9" s="8"/>
      <c r="J9" s="32">
        <v>221.11</v>
      </c>
      <c r="K9" s="8"/>
      <c r="M9" s="32">
        <v>0</v>
      </c>
      <c r="N9" s="8"/>
      <c r="P9" s="32">
        <v>168.92999999999998</v>
      </c>
      <c r="Q9" s="8"/>
      <c r="S9" s="32">
        <f>+'winst en verlies 2019'!D9</f>
        <v>253.60000000000002</v>
      </c>
      <c r="T9" s="8"/>
      <c r="V9" s="32">
        <f>-'kolommenbalans 2018'!N38</f>
        <v>119.92</v>
      </c>
      <c r="W9" s="8"/>
      <c r="X9" s="7"/>
      <c r="Y9" s="32">
        <v>173.56</v>
      </c>
      <c r="Z9" s="8"/>
      <c r="AA9" s="7"/>
      <c r="AB9" s="32">
        <v>334.54</v>
      </c>
      <c r="AC9" s="8"/>
      <c r="AD9" s="7"/>
      <c r="AE9" s="32"/>
      <c r="AF9" s="8"/>
      <c r="AG9" s="7"/>
      <c r="AH9" s="5"/>
      <c r="AI9" s="8"/>
      <c r="AJ9" s="7"/>
      <c r="AK9" s="5"/>
      <c r="AL9" s="8"/>
      <c r="AM9" s="7"/>
      <c r="AO9" s="8"/>
      <c r="AQ9" s="5"/>
      <c r="AR9" s="8"/>
      <c r="AT9" s="5"/>
      <c r="AU9" s="8"/>
    </row>
    <row r="10" spans="1:47" ht="13.5" thickBot="1" x14ac:dyDescent="0.25">
      <c r="A10" s="70" t="s">
        <v>431</v>
      </c>
      <c r="D10" s="103">
        <f>-'kolommenbalans 2024'!I43</f>
        <v>2.4</v>
      </c>
      <c r="E10" s="8"/>
      <c r="G10" s="103">
        <f>1688.38-1675.01</f>
        <v>13.370000000000118</v>
      </c>
      <c r="H10" s="8"/>
      <c r="J10" s="103"/>
      <c r="K10" s="8"/>
      <c r="M10" s="103">
        <v>0</v>
      </c>
      <c r="N10" s="8"/>
      <c r="P10" s="103">
        <v>0</v>
      </c>
      <c r="Q10" s="8"/>
      <c r="S10" s="103">
        <f>'kolommenbalans 2018'!I44</f>
        <v>0</v>
      </c>
      <c r="T10" s="8"/>
      <c r="V10" s="103">
        <f>'kolommenbalans 2018'!L44</f>
        <v>3.67</v>
      </c>
      <c r="W10" s="8"/>
      <c r="X10" s="7"/>
      <c r="Y10" s="103">
        <v>14.62</v>
      </c>
      <c r="Z10" s="8"/>
      <c r="AA10" s="7"/>
      <c r="AB10" s="103">
        <v>32.479999999999997</v>
      </c>
      <c r="AC10" s="8"/>
      <c r="AD10" s="7"/>
      <c r="AE10" s="103">
        <v>217.11</v>
      </c>
      <c r="AF10" s="8"/>
      <c r="AG10" s="7"/>
      <c r="AH10" s="6">
        <v>183</v>
      </c>
      <c r="AI10" s="8"/>
      <c r="AJ10" s="7"/>
      <c r="AK10" s="6">
        <v>112</v>
      </c>
      <c r="AL10" s="8"/>
      <c r="AM10" s="7"/>
      <c r="AN10" s="6">
        <v>62</v>
      </c>
      <c r="AO10" s="8"/>
      <c r="AQ10" s="6">
        <v>100</v>
      </c>
      <c r="AR10" s="8"/>
      <c r="AT10" s="6">
        <v>86.56</v>
      </c>
      <c r="AU10" s="8"/>
    </row>
    <row r="11" spans="1:47" ht="19.5" customHeight="1" x14ac:dyDescent="0.2">
      <c r="A11" s="3" t="s">
        <v>3</v>
      </c>
      <c r="D11" s="32"/>
      <c r="E11" s="8">
        <f>+D9+D6+D10</f>
        <v>7833.3499999999995</v>
      </c>
      <c r="G11" s="32"/>
      <c r="H11" s="8">
        <f>+G9+G6+G10</f>
        <v>7886.2699999999995</v>
      </c>
      <c r="J11" s="86"/>
      <c r="K11" s="8">
        <f>+J9+J6</f>
        <v>7721.11</v>
      </c>
      <c r="M11" s="86"/>
      <c r="N11" s="8">
        <v>7668</v>
      </c>
      <c r="P11" s="86"/>
      <c r="Q11" s="8">
        <v>7668.93</v>
      </c>
      <c r="S11" s="86"/>
      <c r="T11" s="8">
        <f>SUM(S6:S10)</f>
        <v>31218.92</v>
      </c>
      <c r="V11" s="86"/>
      <c r="W11" s="8">
        <f>SUM(V6:V10)</f>
        <v>19920.159999999996</v>
      </c>
      <c r="X11" s="7"/>
      <c r="Y11" s="86"/>
      <c r="Z11" s="8">
        <v>20440.120000000003</v>
      </c>
      <c r="AA11" s="7"/>
      <c r="AB11" s="86"/>
      <c r="AC11" s="8">
        <f>SUM(AB6:AB10)</f>
        <v>18467.02</v>
      </c>
      <c r="AD11" s="7"/>
      <c r="AE11" s="86"/>
      <c r="AF11" s="8">
        <v>21717.11</v>
      </c>
      <c r="AG11" s="7"/>
      <c r="AH11" s="7"/>
      <c r="AI11" s="8">
        <f>SUM(AH6:AH10)</f>
        <v>7683</v>
      </c>
      <c r="AJ11" s="7"/>
      <c r="AK11" s="7"/>
      <c r="AL11" s="8">
        <f>SUM(AK7:AK10)</f>
        <v>7612</v>
      </c>
      <c r="AM11" s="7"/>
      <c r="AN11" s="7"/>
      <c r="AO11" s="8">
        <f>SUM(AN7:AN10)</f>
        <v>7562</v>
      </c>
      <c r="AQ11" s="7"/>
      <c r="AR11" s="8">
        <f>SUM(AQ6:AQ10)</f>
        <v>7600</v>
      </c>
      <c r="AT11" s="7"/>
      <c r="AU11" s="8">
        <v>7586.56</v>
      </c>
    </row>
    <row r="12" spans="1:47" x14ac:dyDescent="0.2">
      <c r="D12" s="32"/>
      <c r="E12" s="8"/>
      <c r="G12" s="32"/>
      <c r="H12" s="8"/>
      <c r="K12" s="8"/>
      <c r="N12" s="8"/>
      <c r="P12" s="44"/>
      <c r="Q12" s="8"/>
      <c r="S12" s="44"/>
      <c r="T12" s="8"/>
      <c r="V12" s="44"/>
      <c r="W12" s="8"/>
      <c r="X12" s="7"/>
      <c r="Y12" s="44"/>
      <c r="Z12" s="8"/>
      <c r="AA12" s="7"/>
      <c r="AB12" s="44"/>
      <c r="AC12" s="8"/>
      <c r="AD12" s="7"/>
      <c r="AE12" s="44"/>
      <c r="AF12" s="8"/>
      <c r="AG12" s="7"/>
      <c r="AH12" s="5"/>
      <c r="AI12" s="8"/>
      <c r="AJ12" s="7"/>
      <c r="AK12" s="5"/>
      <c r="AL12" s="8"/>
      <c r="AM12" s="7"/>
      <c r="AO12" s="8"/>
      <c r="AQ12" s="5"/>
      <c r="AR12" s="8"/>
      <c r="AT12" s="5"/>
      <c r="AU12" s="8"/>
    </row>
    <row r="13" spans="1:47" x14ac:dyDescent="0.2">
      <c r="A13" t="s">
        <v>4</v>
      </c>
      <c r="D13" s="32">
        <v>0</v>
      </c>
      <c r="E13" s="8"/>
      <c r="G13" s="32">
        <v>0</v>
      </c>
      <c r="H13" s="8"/>
      <c r="J13" s="44">
        <v>0</v>
      </c>
      <c r="K13" s="8"/>
      <c r="M13" s="44">
        <v>0</v>
      </c>
      <c r="N13" s="8"/>
      <c r="P13" s="44">
        <v>0</v>
      </c>
      <c r="Q13" s="8"/>
      <c r="S13" s="44">
        <v>0</v>
      </c>
      <c r="T13" s="8"/>
      <c r="V13" s="44">
        <v>0</v>
      </c>
      <c r="W13" s="8"/>
      <c r="X13" s="7"/>
      <c r="Y13" s="44">
        <v>0</v>
      </c>
      <c r="Z13" s="8"/>
      <c r="AA13" s="7"/>
      <c r="AB13" s="44">
        <v>0</v>
      </c>
      <c r="AC13" s="8"/>
      <c r="AD13" s="7"/>
      <c r="AE13" s="44">
        <v>0</v>
      </c>
      <c r="AF13" s="8"/>
      <c r="AG13" s="7"/>
      <c r="AH13" s="5">
        <v>0</v>
      </c>
      <c r="AI13" s="8"/>
      <c r="AJ13" s="7"/>
      <c r="AK13" s="5">
        <v>0</v>
      </c>
      <c r="AL13" s="8"/>
      <c r="AM13" s="7"/>
      <c r="AN13" s="5">
        <v>0</v>
      </c>
      <c r="AO13" s="8"/>
      <c r="AQ13" s="5">
        <v>0</v>
      </c>
      <c r="AR13" s="8"/>
      <c r="AT13" s="5">
        <v>0</v>
      </c>
      <c r="AU13" s="8"/>
    </row>
    <row r="14" spans="1:47" ht="13.5" thickBot="1" x14ac:dyDescent="0.25">
      <c r="A14" t="s">
        <v>5</v>
      </c>
      <c r="D14" s="103">
        <v>0</v>
      </c>
      <c r="E14" s="8">
        <v>0</v>
      </c>
      <c r="G14" s="103">
        <v>0</v>
      </c>
      <c r="H14" s="8">
        <v>0</v>
      </c>
      <c r="J14" s="85">
        <v>0</v>
      </c>
      <c r="K14" s="8">
        <v>0</v>
      </c>
      <c r="M14" s="85">
        <v>0</v>
      </c>
      <c r="N14" s="8">
        <v>0</v>
      </c>
      <c r="P14" s="85">
        <v>0</v>
      </c>
      <c r="Q14" s="8"/>
      <c r="S14" s="85">
        <v>0</v>
      </c>
      <c r="T14" s="8"/>
      <c r="V14" s="85">
        <v>0</v>
      </c>
      <c r="W14" s="8"/>
      <c r="X14" s="7"/>
      <c r="Y14" s="85">
        <v>0</v>
      </c>
      <c r="Z14" s="8"/>
      <c r="AA14" s="7"/>
      <c r="AB14" s="85">
        <v>0</v>
      </c>
      <c r="AC14" s="8"/>
      <c r="AD14" s="7"/>
      <c r="AE14" s="85">
        <v>0</v>
      </c>
      <c r="AF14" s="8"/>
      <c r="AG14" s="7"/>
      <c r="AH14" s="6">
        <v>0</v>
      </c>
      <c r="AI14" s="8"/>
      <c r="AJ14" s="7"/>
      <c r="AK14" s="6">
        <v>0</v>
      </c>
      <c r="AL14" s="8"/>
      <c r="AM14" s="7"/>
      <c r="AN14" s="6">
        <v>0</v>
      </c>
      <c r="AO14" s="8"/>
      <c r="AQ14" s="6">
        <v>0</v>
      </c>
      <c r="AR14" s="8"/>
      <c r="AT14" s="6">
        <v>0</v>
      </c>
      <c r="AU14" s="8"/>
    </row>
    <row r="15" spans="1:47" ht="19.5" customHeight="1" x14ac:dyDescent="0.2">
      <c r="A15" s="3" t="s">
        <v>6</v>
      </c>
      <c r="D15" s="32"/>
      <c r="E15" s="8">
        <v>0</v>
      </c>
      <c r="G15" s="32"/>
      <c r="H15" s="8">
        <v>0</v>
      </c>
      <c r="K15" s="8">
        <v>0</v>
      </c>
      <c r="N15" s="8">
        <v>0</v>
      </c>
      <c r="P15" s="86"/>
      <c r="Q15" s="8">
        <v>0</v>
      </c>
      <c r="S15" s="86"/>
      <c r="T15" s="8">
        <f>-SUM(S13:S14)</f>
        <v>0</v>
      </c>
      <c r="V15" s="86"/>
      <c r="W15" s="8">
        <f>-SUM(V13:V14)</f>
        <v>0</v>
      </c>
      <c r="X15" s="7"/>
      <c r="Y15" s="86"/>
      <c r="Z15" s="8">
        <v>0</v>
      </c>
      <c r="AA15" s="7"/>
      <c r="AB15" s="86"/>
      <c r="AC15" s="8">
        <f>-SUM(AB13:AB14)</f>
        <v>0</v>
      </c>
      <c r="AD15" s="7"/>
      <c r="AE15" s="86"/>
      <c r="AF15" s="8">
        <v>0</v>
      </c>
      <c r="AG15" s="7"/>
      <c r="AH15" s="7"/>
      <c r="AI15" s="8">
        <f>-SUM(AH13:AH14)</f>
        <v>0</v>
      </c>
      <c r="AJ15" s="7"/>
      <c r="AK15" s="7"/>
      <c r="AL15" s="8">
        <f>-SUM(AK13:AK14)</f>
        <v>0</v>
      </c>
      <c r="AM15" s="7"/>
      <c r="AN15" s="7"/>
      <c r="AO15" s="8">
        <f>-SUM(AN13:AN14)</f>
        <v>0</v>
      </c>
      <c r="AQ15" s="7"/>
      <c r="AR15" s="8">
        <f>-SUM(AQ13:AQ14)</f>
        <v>0</v>
      </c>
      <c r="AT15" s="7"/>
      <c r="AU15" s="8">
        <v>0</v>
      </c>
    </row>
    <row r="16" spans="1:47" ht="13.5" thickBot="1" x14ac:dyDescent="0.25">
      <c r="A16" t="s">
        <v>14</v>
      </c>
      <c r="D16" s="32"/>
      <c r="E16" s="19">
        <v>0</v>
      </c>
      <c r="G16" s="32"/>
      <c r="H16" s="19">
        <v>0</v>
      </c>
      <c r="K16" s="19">
        <v>0</v>
      </c>
      <c r="N16" s="19">
        <v>0</v>
      </c>
      <c r="P16" s="44"/>
      <c r="Q16" s="19">
        <f>+Q15/Q11</f>
        <v>0</v>
      </c>
      <c r="S16" s="44"/>
      <c r="T16" s="19">
        <f>+T15/T11</f>
        <v>0</v>
      </c>
      <c r="V16" s="44"/>
      <c r="W16" s="19">
        <f>+W15/W11</f>
        <v>0</v>
      </c>
      <c r="X16" s="26"/>
      <c r="Y16" s="44"/>
      <c r="Z16" s="19">
        <v>0</v>
      </c>
      <c r="AA16" s="26"/>
      <c r="AB16" s="44"/>
      <c r="AC16" s="19">
        <f>+AC15/AC11</f>
        <v>0</v>
      </c>
      <c r="AD16" s="26"/>
      <c r="AE16" s="44"/>
      <c r="AF16" s="19">
        <v>0</v>
      </c>
      <c r="AG16" s="26"/>
      <c r="AH16" s="5"/>
      <c r="AI16" s="19">
        <f>+AI15/AI11</f>
        <v>0</v>
      </c>
      <c r="AJ16" s="26"/>
      <c r="AK16" s="5"/>
      <c r="AL16" s="19">
        <f>+AL15/AL11</f>
        <v>0</v>
      </c>
      <c r="AM16" s="26"/>
      <c r="AO16" s="19">
        <f>+AO15/AO11</f>
        <v>0</v>
      </c>
      <c r="AQ16" s="5"/>
      <c r="AR16" s="19">
        <f>+AR15/AR11</f>
        <v>0</v>
      </c>
      <c r="AT16" s="5"/>
      <c r="AU16" s="19">
        <v>0</v>
      </c>
    </row>
    <row r="17" spans="1:47" ht="19.5" customHeight="1" x14ac:dyDescent="0.2">
      <c r="A17" s="3" t="s">
        <v>8</v>
      </c>
      <c r="D17" s="32"/>
      <c r="E17" s="214">
        <f>+E11</f>
        <v>7833.3499999999995</v>
      </c>
      <c r="G17" s="32"/>
      <c r="H17" s="214">
        <f>+H11</f>
        <v>7886.2699999999995</v>
      </c>
      <c r="K17" s="214">
        <f>+K11</f>
        <v>7721.11</v>
      </c>
      <c r="N17" s="214">
        <v>7668</v>
      </c>
      <c r="P17" s="86"/>
      <c r="Q17" s="8">
        <v>7668.93</v>
      </c>
      <c r="S17" s="86"/>
      <c r="T17" s="8">
        <f>+T11+T15</f>
        <v>31218.92</v>
      </c>
      <c r="V17" s="86"/>
      <c r="W17" s="8">
        <f>+W11+W15</f>
        <v>19920.159999999996</v>
      </c>
      <c r="X17" s="7"/>
      <c r="Y17" s="86"/>
      <c r="Z17" s="8">
        <v>20440.120000000003</v>
      </c>
      <c r="AA17" s="7"/>
      <c r="AB17" s="86"/>
      <c r="AC17" s="8">
        <f>+AC11+AC15</f>
        <v>18467.02</v>
      </c>
      <c r="AD17" s="7"/>
      <c r="AE17" s="86"/>
      <c r="AF17" s="8">
        <v>21717.11</v>
      </c>
      <c r="AG17" s="7"/>
      <c r="AH17" s="7"/>
      <c r="AI17" s="8">
        <f>+AI11+AI15</f>
        <v>7683</v>
      </c>
      <c r="AJ17" s="7"/>
      <c r="AK17" s="7"/>
      <c r="AL17" s="8">
        <f>+AL11+AL15</f>
        <v>7612</v>
      </c>
      <c r="AM17" s="7"/>
      <c r="AN17" s="7"/>
      <c r="AO17" s="8">
        <f>+AO11+AO15</f>
        <v>7562</v>
      </c>
      <c r="AQ17" s="7"/>
      <c r="AR17" s="8">
        <f>+AR11+AR15</f>
        <v>7600</v>
      </c>
      <c r="AT17" s="7"/>
      <c r="AU17" s="8">
        <v>7586.56</v>
      </c>
    </row>
    <row r="18" spans="1:47" ht="13.5" thickBot="1" x14ac:dyDescent="0.25">
      <c r="A18" t="s">
        <v>7</v>
      </c>
      <c r="D18" s="32"/>
      <c r="E18" s="16"/>
      <c r="G18" s="32"/>
      <c r="H18" s="16"/>
      <c r="K18" s="16"/>
      <c r="N18" s="16"/>
      <c r="P18" s="44"/>
      <c r="Q18" s="16">
        <v>0</v>
      </c>
      <c r="S18" s="44"/>
      <c r="T18" s="16">
        <v>0</v>
      </c>
      <c r="V18" s="44"/>
      <c r="W18" s="16">
        <v>0</v>
      </c>
      <c r="X18" s="7"/>
      <c r="Y18" s="44"/>
      <c r="Z18" s="16">
        <v>0</v>
      </c>
      <c r="AA18" s="7"/>
      <c r="AB18" s="44"/>
      <c r="AC18" s="16">
        <v>0</v>
      </c>
      <c r="AD18" s="7"/>
      <c r="AE18" s="44"/>
      <c r="AF18" s="16">
        <v>0</v>
      </c>
      <c r="AG18" s="7"/>
      <c r="AH18" s="5"/>
      <c r="AI18" s="16">
        <v>0</v>
      </c>
      <c r="AJ18" s="7"/>
      <c r="AK18" s="5"/>
      <c r="AL18" s="16">
        <v>0</v>
      </c>
      <c r="AM18" s="7"/>
      <c r="AO18" s="16">
        <v>0</v>
      </c>
      <c r="AQ18" s="5"/>
      <c r="AR18" s="16">
        <v>0</v>
      </c>
      <c r="AT18" s="5"/>
      <c r="AU18" s="16">
        <v>0</v>
      </c>
    </row>
    <row r="19" spans="1:47" ht="19.5" customHeight="1" x14ac:dyDescent="0.2">
      <c r="A19" s="3" t="s">
        <v>9</v>
      </c>
      <c r="D19" s="32"/>
      <c r="E19" s="8">
        <f>+E17</f>
        <v>7833.3499999999995</v>
      </c>
      <c r="G19" s="32"/>
      <c r="H19" s="8">
        <f>+H17</f>
        <v>7886.2699999999995</v>
      </c>
      <c r="K19" s="8">
        <f>+K17</f>
        <v>7721.11</v>
      </c>
      <c r="N19" s="8">
        <f>+N17</f>
        <v>7668</v>
      </c>
      <c r="P19" s="86"/>
      <c r="Q19" s="8">
        <v>7668.93</v>
      </c>
      <c r="S19" s="86"/>
      <c r="T19" s="8">
        <f>+T18+T17</f>
        <v>31218.92</v>
      </c>
      <c r="V19" s="86"/>
      <c r="W19" s="8">
        <f>+W18+W17</f>
        <v>19920.159999999996</v>
      </c>
      <c r="X19" s="7"/>
      <c r="Y19" s="86"/>
      <c r="Z19" s="8">
        <v>20440.120000000003</v>
      </c>
      <c r="AA19" s="7"/>
      <c r="AB19" s="86"/>
      <c r="AC19" s="8">
        <f>+AC18+AC17</f>
        <v>18467.02</v>
      </c>
      <c r="AD19" s="7"/>
      <c r="AE19" s="86"/>
      <c r="AF19" s="8">
        <v>21717.11</v>
      </c>
      <c r="AG19" s="7"/>
      <c r="AH19" s="7"/>
      <c r="AI19" s="8">
        <f>+AI18+AI17</f>
        <v>7683</v>
      </c>
      <c r="AJ19" s="7"/>
      <c r="AK19" s="7"/>
      <c r="AL19" s="8">
        <f>+AL18+AL17</f>
        <v>7612</v>
      </c>
      <c r="AM19" s="7"/>
      <c r="AN19" s="7"/>
      <c r="AO19" s="8">
        <f>+AO18+AO17</f>
        <v>7562</v>
      </c>
      <c r="AQ19" s="7"/>
      <c r="AR19" s="8">
        <f>+AR18+AR17</f>
        <v>7600</v>
      </c>
      <c r="AT19" s="7"/>
      <c r="AU19" s="8">
        <v>7586.56</v>
      </c>
    </row>
    <row r="20" spans="1:47" x14ac:dyDescent="0.2">
      <c r="D20" s="32"/>
      <c r="E20" s="8"/>
      <c r="G20" s="32"/>
      <c r="H20" s="8"/>
      <c r="K20" s="8"/>
      <c r="N20" s="8"/>
      <c r="P20" s="44"/>
      <c r="Q20" s="8"/>
      <c r="S20" s="44"/>
      <c r="T20" s="8"/>
      <c r="V20" s="44"/>
      <c r="W20" s="8"/>
      <c r="X20" s="7"/>
      <c r="Y20" s="44"/>
      <c r="Z20" s="8"/>
      <c r="AA20" s="7"/>
      <c r="AB20" s="44"/>
      <c r="AC20" s="8"/>
      <c r="AD20" s="7"/>
      <c r="AE20" s="44"/>
      <c r="AF20" s="8"/>
      <c r="AG20" s="7"/>
      <c r="AH20" s="5"/>
      <c r="AI20" s="8"/>
      <c r="AJ20" s="7"/>
      <c r="AK20" s="5"/>
      <c r="AL20" s="8"/>
      <c r="AM20" s="7"/>
      <c r="AO20" s="8"/>
      <c r="AQ20" s="5"/>
      <c r="AR20" s="8"/>
      <c r="AT20" s="5"/>
      <c r="AU20" s="8"/>
    </row>
    <row r="21" spans="1:47" ht="15.75" x14ac:dyDescent="0.25">
      <c r="A21" s="2" t="s">
        <v>10</v>
      </c>
      <c r="D21" s="32"/>
      <c r="E21" s="8"/>
      <c r="G21" s="32"/>
      <c r="H21" s="8"/>
      <c r="K21" s="8"/>
      <c r="M21" s="32">
        <v>0</v>
      </c>
      <c r="N21" s="8"/>
      <c r="P21" s="44"/>
      <c r="Q21" s="8"/>
      <c r="S21" s="44"/>
      <c r="T21" s="8"/>
      <c r="V21" s="44"/>
      <c r="W21" s="8"/>
      <c r="X21" s="7"/>
      <c r="Y21" s="44"/>
      <c r="Z21" s="8"/>
      <c r="AA21" s="7"/>
      <c r="AB21" s="44"/>
      <c r="AC21" s="8"/>
      <c r="AD21" s="7"/>
      <c r="AE21" s="44"/>
      <c r="AF21" s="8"/>
      <c r="AG21" s="7"/>
      <c r="AH21" s="5"/>
      <c r="AI21" s="8"/>
      <c r="AJ21" s="7"/>
      <c r="AK21" s="5"/>
      <c r="AL21" s="8"/>
      <c r="AM21" s="7"/>
      <c r="AO21" s="8"/>
      <c r="AQ21" s="5"/>
      <c r="AR21" s="8"/>
      <c r="AT21" s="5"/>
      <c r="AU21" s="8"/>
    </row>
    <row r="22" spans="1:47" x14ac:dyDescent="0.2">
      <c r="A22" s="70" t="s">
        <v>578</v>
      </c>
      <c r="D22" s="32">
        <f>+'kolommenbalans 2024'!L43</f>
        <v>3000.4</v>
      </c>
      <c r="E22" s="8"/>
      <c r="G22" s="32">
        <v>4100</v>
      </c>
      <c r="H22" s="8"/>
      <c r="J22" s="32">
        <f>6000</f>
        <v>6000</v>
      </c>
      <c r="K22" s="8"/>
      <c r="M22" s="32">
        <v>0</v>
      </c>
      <c r="N22" s="8"/>
      <c r="P22" s="32">
        <v>17500</v>
      </c>
      <c r="Q22" s="8"/>
      <c r="S22" s="44">
        <v>0</v>
      </c>
      <c r="T22" s="8"/>
      <c r="V22" s="44">
        <f>+'kolommenbalans 2018'!O35</f>
        <v>12768.57</v>
      </c>
      <c r="W22" s="8"/>
      <c r="X22" s="7"/>
      <c r="Y22" s="44">
        <v>14851.94</v>
      </c>
      <c r="Z22" s="8"/>
      <c r="AA22" s="7"/>
      <c r="AB22" s="44">
        <v>32271.66</v>
      </c>
      <c r="AC22" s="8"/>
      <c r="AD22" s="7"/>
      <c r="AE22" s="44">
        <v>12747.69</v>
      </c>
      <c r="AF22" s="8"/>
      <c r="AG22" s="7"/>
      <c r="AH22" s="5">
        <v>6000</v>
      </c>
      <c r="AI22" s="8"/>
      <c r="AJ22" s="7"/>
      <c r="AK22" s="5">
        <v>0</v>
      </c>
      <c r="AL22" s="8"/>
      <c r="AM22" s="7"/>
      <c r="AN22" s="5">
        <v>0</v>
      </c>
      <c r="AO22" s="8"/>
      <c r="AQ22" s="5">
        <v>7500</v>
      </c>
      <c r="AR22" s="8"/>
      <c r="AT22" s="5">
        <v>5053.45</v>
      </c>
      <c r="AU22" s="8"/>
    </row>
    <row r="23" spans="1:47" x14ac:dyDescent="0.2">
      <c r="A23" s="70" t="s">
        <v>580</v>
      </c>
      <c r="D23" s="32"/>
      <c r="E23" s="8"/>
      <c r="G23" s="32"/>
      <c r="H23" s="8"/>
      <c r="J23" s="44">
        <f>+'kolommenbalans 2022'!D68+'kolommenbalans 2022'!D69</f>
        <v>4500</v>
      </c>
      <c r="K23" s="8"/>
      <c r="M23" s="44">
        <v>0</v>
      </c>
      <c r="N23" s="8"/>
      <c r="P23" s="44">
        <v>8500</v>
      </c>
      <c r="Q23" s="8"/>
      <c r="S23" s="44">
        <f>+'winst en verlies 2019'!D23</f>
        <v>500</v>
      </c>
      <c r="T23" s="8"/>
      <c r="V23" s="44">
        <f>-'kolommenbalans 2018'!H39</f>
        <v>15000</v>
      </c>
      <c r="W23" s="8"/>
      <c r="X23" s="7"/>
      <c r="Y23" s="44"/>
      <c r="Z23" s="8"/>
      <c r="AA23" s="7"/>
      <c r="AB23" s="44"/>
      <c r="AC23" s="8"/>
      <c r="AD23" s="7"/>
      <c r="AE23" s="44"/>
      <c r="AF23" s="8"/>
      <c r="AG23" s="7"/>
      <c r="AH23" s="5"/>
      <c r="AI23" s="8"/>
      <c r="AJ23" s="7"/>
      <c r="AK23" s="5"/>
      <c r="AL23" s="8"/>
      <c r="AM23" s="7"/>
      <c r="AO23" s="8"/>
      <c r="AQ23" s="5"/>
      <c r="AR23" s="8"/>
      <c r="AT23" s="5"/>
      <c r="AU23" s="8"/>
    </row>
    <row r="24" spans="1:47" x14ac:dyDescent="0.2">
      <c r="A24" s="70" t="s">
        <v>579</v>
      </c>
      <c r="D24" s="32"/>
      <c r="E24" s="8"/>
      <c r="G24" s="32"/>
      <c r="H24" s="8"/>
      <c r="K24" s="8"/>
      <c r="M24" s="72">
        <v>0</v>
      </c>
      <c r="N24" s="8"/>
      <c r="P24" s="72"/>
      <c r="Q24" s="8"/>
      <c r="S24" s="72">
        <f>+'winst en verlies 2019'!D24</f>
        <v>23465.32</v>
      </c>
      <c r="T24" s="8"/>
      <c r="V24" s="72"/>
      <c r="W24" s="8"/>
      <c r="X24" s="7"/>
      <c r="Y24" s="44">
        <v>-3000</v>
      </c>
      <c r="Z24" s="8"/>
      <c r="AA24" s="7"/>
      <c r="AB24" s="44">
        <v>2500</v>
      </c>
      <c r="AC24" s="8"/>
      <c r="AD24" s="7"/>
      <c r="AE24" s="44">
        <v>5500</v>
      </c>
      <c r="AF24" s="8"/>
      <c r="AG24" s="7"/>
      <c r="AH24" s="5"/>
      <c r="AI24" s="8"/>
      <c r="AJ24" s="7"/>
      <c r="AK24" s="5"/>
      <c r="AL24" s="8"/>
      <c r="AM24" s="7"/>
      <c r="AO24" s="8"/>
      <c r="AQ24" s="5"/>
      <c r="AR24" s="8"/>
      <c r="AT24" s="5"/>
      <c r="AU24" s="8"/>
    </row>
    <row r="25" spans="1:47" ht="12.75" hidden="1" customHeight="1" x14ac:dyDescent="0.2">
      <c r="A25" s="99" t="s">
        <v>421</v>
      </c>
      <c r="D25" s="32">
        <v>0</v>
      </c>
      <c r="E25" s="8"/>
      <c r="G25" s="32">
        <v>0</v>
      </c>
      <c r="H25" s="8"/>
      <c r="J25" s="44">
        <v>0</v>
      </c>
      <c r="K25" s="8"/>
      <c r="N25" s="8"/>
      <c r="P25" s="44"/>
      <c r="Q25" s="8"/>
      <c r="S25" s="44">
        <v>0</v>
      </c>
      <c r="T25" s="8"/>
      <c r="V25" s="44">
        <v>0</v>
      </c>
      <c r="W25" s="8"/>
      <c r="X25" s="7"/>
      <c r="Y25" s="44">
        <v>0</v>
      </c>
      <c r="Z25" s="8"/>
      <c r="AA25" s="7"/>
      <c r="AB25" s="44">
        <v>1021.66</v>
      </c>
      <c r="AC25" s="8"/>
      <c r="AD25" s="7"/>
      <c r="AE25" s="44">
        <v>1252.31</v>
      </c>
      <c r="AF25" s="8"/>
      <c r="AG25" s="7"/>
      <c r="AH25" s="5"/>
      <c r="AI25" s="8"/>
      <c r="AJ25" s="7"/>
      <c r="AK25" s="5"/>
      <c r="AL25" s="8"/>
      <c r="AM25" s="7"/>
      <c r="AO25" s="8"/>
      <c r="AQ25" s="5"/>
      <c r="AR25" s="8"/>
      <c r="AT25" s="5"/>
      <c r="AU25" s="8"/>
    </row>
    <row r="26" spans="1:47" ht="13.5" thickBot="1" x14ac:dyDescent="0.25">
      <c r="A26" t="s">
        <v>5</v>
      </c>
      <c r="D26" s="103">
        <f>+'kolommenbalans 2024'!K36</f>
        <v>330.95000000000005</v>
      </c>
      <c r="E26" s="8"/>
      <c r="G26" s="103">
        <v>372.9</v>
      </c>
      <c r="H26" s="8"/>
      <c r="J26" s="85">
        <v>221.11</v>
      </c>
      <c r="K26" s="8"/>
      <c r="M26" s="44">
        <v>-168.00000000000003</v>
      </c>
      <c r="N26" s="8">
        <v>-168.00000000000003</v>
      </c>
      <c r="P26" s="85">
        <v>168.92999999999998</v>
      </c>
      <c r="Q26" s="8"/>
      <c r="S26" s="85">
        <f>+'winst en verlies 2019'!D26</f>
        <v>253.60000000000002</v>
      </c>
      <c r="T26" s="8"/>
      <c r="V26" s="85">
        <f>+'kolommenbalans concept'!N34</f>
        <v>119.92</v>
      </c>
      <c r="W26" s="8"/>
      <c r="X26" s="7"/>
      <c r="Y26" s="85">
        <v>173.56</v>
      </c>
      <c r="Z26" s="8"/>
      <c r="AA26" s="7"/>
      <c r="AB26" s="85">
        <v>334.54</v>
      </c>
      <c r="AC26" s="8"/>
      <c r="AD26" s="7"/>
      <c r="AE26" s="85">
        <v>163.28</v>
      </c>
      <c r="AF26" s="8"/>
      <c r="AG26" s="7"/>
      <c r="AH26" s="6">
        <v>112</v>
      </c>
      <c r="AI26" s="8"/>
      <c r="AJ26" s="7"/>
      <c r="AK26" s="6">
        <v>100</v>
      </c>
      <c r="AL26" s="8"/>
      <c r="AM26" s="7"/>
      <c r="AN26" s="9" t="s">
        <v>351</v>
      </c>
      <c r="AO26" s="8"/>
      <c r="AQ26" s="6">
        <v>100</v>
      </c>
      <c r="AR26" s="8"/>
      <c r="AT26" s="6">
        <v>74.56</v>
      </c>
      <c r="AU26" s="8"/>
    </row>
    <row r="27" spans="1:47" ht="19.5" customHeight="1" x14ac:dyDescent="0.2">
      <c r="A27" s="3" t="s">
        <v>13</v>
      </c>
      <c r="D27" s="32"/>
      <c r="E27" s="8">
        <f>-SUM(D22:D26)</f>
        <v>-3331.3500000000004</v>
      </c>
      <c r="G27" s="32"/>
      <c r="H27" s="8">
        <f>-SUM(G22:G26)</f>
        <v>-4472.8999999999996</v>
      </c>
      <c r="J27" s="86"/>
      <c r="K27" s="8">
        <v>-10721</v>
      </c>
      <c r="M27" s="86"/>
      <c r="N27" s="8"/>
      <c r="P27" s="86"/>
      <c r="Q27" s="8">
        <v>26168.93</v>
      </c>
      <c r="S27" s="86"/>
      <c r="T27" s="8">
        <f>SUM(S21:S26)</f>
        <v>24218.92</v>
      </c>
      <c r="V27" s="86"/>
      <c r="W27" s="8">
        <f>SUM(V21:V26)</f>
        <v>27888.489999999998</v>
      </c>
      <c r="X27" s="7"/>
      <c r="Y27" s="86"/>
      <c r="Z27" s="8">
        <v>12025.5</v>
      </c>
      <c r="AA27" s="7"/>
      <c r="AB27" s="86"/>
      <c r="AC27" s="8">
        <f>SUM(AB21:AB26)</f>
        <v>36127.860000000008</v>
      </c>
      <c r="AD27" s="7"/>
      <c r="AE27" s="86"/>
      <c r="AF27" s="8">
        <v>19663.280000000002</v>
      </c>
      <c r="AG27" s="7"/>
      <c r="AH27" s="7"/>
      <c r="AI27" s="8">
        <f>SUM(AH21:AH26)</f>
        <v>6112</v>
      </c>
      <c r="AJ27" s="7"/>
      <c r="AK27" s="7"/>
      <c r="AL27" s="8">
        <f>SUM(AK21:AK26)</f>
        <v>100</v>
      </c>
      <c r="AM27" s="7"/>
      <c r="AN27" s="7"/>
      <c r="AO27" s="8">
        <f>SUM(AN21:AN26)</f>
        <v>0</v>
      </c>
      <c r="AQ27" s="7"/>
      <c r="AR27" s="8">
        <f>+AQ26+AQ22</f>
        <v>7600</v>
      </c>
      <c r="AT27" s="7"/>
      <c r="AU27" s="8">
        <v>5128.01</v>
      </c>
    </row>
    <row r="28" spans="1:47" x14ac:dyDescent="0.2">
      <c r="D28" s="32"/>
      <c r="E28" s="8"/>
      <c r="G28" s="32"/>
      <c r="H28" s="8"/>
      <c r="J28" s="44"/>
      <c r="K28" s="8"/>
      <c r="M28" s="44"/>
      <c r="N28" s="8"/>
      <c r="P28" s="44"/>
      <c r="Q28" s="8"/>
      <c r="S28" s="44"/>
      <c r="T28" s="8"/>
      <c r="V28" s="44"/>
      <c r="W28" s="8"/>
      <c r="X28" s="7"/>
      <c r="Y28" s="44"/>
      <c r="Z28" s="8"/>
      <c r="AA28" s="7"/>
      <c r="AB28" s="44"/>
      <c r="AC28" s="8"/>
      <c r="AD28" s="7"/>
      <c r="AE28" s="44"/>
      <c r="AF28" s="8"/>
      <c r="AG28" s="7"/>
      <c r="AH28" s="5"/>
      <c r="AI28" s="8"/>
      <c r="AJ28" s="7"/>
      <c r="AK28" s="5"/>
      <c r="AL28" s="8"/>
      <c r="AM28" s="7"/>
      <c r="AO28" s="8"/>
      <c r="AQ28" s="5"/>
      <c r="AR28" s="8"/>
      <c r="AT28" s="5"/>
      <c r="AU28" s="8"/>
    </row>
    <row r="29" spans="1:47" ht="19.5" customHeight="1" x14ac:dyDescent="0.2">
      <c r="A29" s="1" t="s">
        <v>15</v>
      </c>
      <c r="D29" s="32"/>
      <c r="E29" s="8">
        <f>+E27+E19</f>
        <v>4501.9999999999991</v>
      </c>
      <c r="G29" s="32"/>
      <c r="H29" s="8">
        <f>+H27+H19</f>
        <v>3413.37</v>
      </c>
      <c r="J29" s="86"/>
      <c r="K29" s="8">
        <v>-3000</v>
      </c>
      <c r="M29" s="86"/>
      <c r="N29" s="8">
        <v>7500</v>
      </c>
      <c r="P29" s="86"/>
      <c r="Q29" s="8">
        <v>-18500</v>
      </c>
      <c r="S29" s="86"/>
      <c r="T29" s="8">
        <f>+T19-T27</f>
        <v>7000</v>
      </c>
      <c r="V29" s="86"/>
      <c r="W29" s="8">
        <f>+W19-W27</f>
        <v>-7968.3300000000017</v>
      </c>
      <c r="X29" s="7"/>
      <c r="Y29" s="86"/>
      <c r="Z29" s="8">
        <v>8414.6200000000026</v>
      </c>
      <c r="AA29" s="7"/>
      <c r="AB29" s="86"/>
      <c r="AC29" s="8">
        <f>+AC19-AC27</f>
        <v>-17660.840000000007</v>
      </c>
      <c r="AD29" s="7"/>
      <c r="AE29" s="86"/>
      <c r="AF29" s="8">
        <v>2053.8299999999981</v>
      </c>
      <c r="AG29" s="7"/>
      <c r="AH29" s="7"/>
      <c r="AI29" s="8">
        <f>+AI19-AI27</f>
        <v>1571</v>
      </c>
      <c r="AJ29" s="7"/>
      <c r="AK29" s="7"/>
      <c r="AL29" s="8">
        <f>+AL19-AL27</f>
        <v>7512</v>
      </c>
      <c r="AM29" s="7"/>
      <c r="AN29" s="7"/>
      <c r="AO29" s="8">
        <f>+AO19-AO27</f>
        <v>7562</v>
      </c>
      <c r="AQ29" s="7"/>
      <c r="AR29" s="8">
        <f>+AR19-AR27</f>
        <v>0</v>
      </c>
      <c r="AT29" s="7"/>
      <c r="AU29" s="8">
        <v>2458.5500000000002</v>
      </c>
    </row>
    <row r="30" spans="1:47" x14ac:dyDescent="0.2">
      <c r="D30" s="32"/>
      <c r="E30" s="4"/>
      <c r="G30" s="32"/>
      <c r="H30" s="4"/>
      <c r="K30" s="219"/>
      <c r="P30" s="44"/>
      <c r="Q30" s="7"/>
      <c r="S30" s="44"/>
      <c r="T30" s="7"/>
      <c r="V30" s="44"/>
      <c r="W30" s="7"/>
      <c r="X30" s="7"/>
      <c r="Y30" s="44"/>
      <c r="Z30" s="7"/>
      <c r="AA30" s="7"/>
      <c r="AB30" s="44"/>
      <c r="AC30" s="7"/>
      <c r="AD30" s="7"/>
      <c r="AE30" s="44"/>
      <c r="AF30" s="7"/>
      <c r="AG30" s="7"/>
      <c r="AH30" s="5"/>
      <c r="AI30" s="7"/>
      <c r="AJ30" s="7"/>
      <c r="AK30" s="5"/>
      <c r="AL30" s="7"/>
      <c r="AM30" s="7"/>
      <c r="AO30" s="7"/>
      <c r="AQ30" s="5"/>
      <c r="AR30" s="7"/>
      <c r="AT30" s="5"/>
      <c r="AU30" s="7"/>
    </row>
    <row r="31" spans="1:47" x14ac:dyDescent="0.2">
      <c r="A31" s="20" t="s">
        <v>16</v>
      </c>
      <c r="D31" s="32"/>
      <c r="E31" s="4"/>
      <c r="G31" s="32"/>
      <c r="H31" s="4"/>
      <c r="K31" s="219"/>
      <c r="M31" s="32">
        <v>0</v>
      </c>
      <c r="P31" s="44"/>
      <c r="Q31" s="7"/>
      <c r="S31" s="44"/>
      <c r="T31" s="7"/>
      <c r="V31" s="44"/>
      <c r="W31" s="7"/>
      <c r="X31" s="7"/>
      <c r="Y31" s="44"/>
      <c r="Z31" s="7"/>
      <c r="AA31" s="7"/>
      <c r="AB31" s="44"/>
      <c r="AC31" s="7"/>
      <c r="AD31" s="7"/>
      <c r="AE31" s="44"/>
      <c r="AF31" s="7"/>
      <c r="AG31" s="7"/>
      <c r="AH31" s="5"/>
      <c r="AI31" s="7"/>
      <c r="AJ31" s="7"/>
      <c r="AK31" s="5"/>
      <c r="AL31" s="7"/>
      <c r="AM31" s="7"/>
      <c r="AO31" s="7"/>
      <c r="AQ31" s="5"/>
      <c r="AR31" s="7"/>
      <c r="AT31" s="5"/>
      <c r="AU31" s="7"/>
    </row>
    <row r="32" spans="1:47" x14ac:dyDescent="0.2">
      <c r="A32" t="s">
        <v>17</v>
      </c>
      <c r="D32" s="32">
        <v>0</v>
      </c>
      <c r="E32" s="8"/>
      <c r="G32" s="32">
        <v>0</v>
      </c>
      <c r="H32" s="8"/>
      <c r="J32" s="44">
        <v>0</v>
      </c>
      <c r="K32" s="8"/>
      <c r="N32" s="8"/>
      <c r="P32" s="44">
        <v>0</v>
      </c>
      <c r="Q32" s="8"/>
      <c r="S32" s="44">
        <v>0</v>
      </c>
      <c r="T32" s="8"/>
      <c r="V32" s="44">
        <v>0</v>
      </c>
      <c r="W32" s="8"/>
      <c r="X32" s="7"/>
      <c r="Y32" s="44">
        <v>0</v>
      </c>
      <c r="Z32" s="8"/>
      <c r="AA32" s="7"/>
      <c r="AB32" s="44">
        <v>0</v>
      </c>
      <c r="AC32" s="8"/>
      <c r="AD32" s="7"/>
      <c r="AE32" s="44">
        <v>0</v>
      </c>
      <c r="AF32" s="8"/>
      <c r="AG32" s="7"/>
      <c r="AH32" s="5">
        <v>0</v>
      </c>
      <c r="AI32" s="8"/>
      <c r="AJ32" s="7"/>
      <c r="AK32" s="5">
        <v>7500</v>
      </c>
      <c r="AL32" s="8"/>
      <c r="AM32" s="7"/>
      <c r="AN32" s="5">
        <v>7500</v>
      </c>
      <c r="AO32" s="8"/>
      <c r="AQ32" s="5">
        <v>0</v>
      </c>
      <c r="AR32" s="8"/>
      <c r="AT32" s="5">
        <v>2458.5500000000002</v>
      </c>
      <c r="AU32" s="8"/>
    </row>
    <row r="33" spans="1:47" ht="13.5" thickBot="1" x14ac:dyDescent="0.25">
      <c r="A33" t="s">
        <v>28</v>
      </c>
      <c r="D33" s="103">
        <f>+E29</f>
        <v>4501.9999999999991</v>
      </c>
      <c r="E33" s="8"/>
      <c r="G33" s="103">
        <f>+H29</f>
        <v>3413.37</v>
      </c>
      <c r="H33" s="8"/>
      <c r="J33" s="85">
        <f>+K29</f>
        <v>-3000</v>
      </c>
      <c r="K33" s="8"/>
      <c r="M33" s="85">
        <v>-4698.17</v>
      </c>
      <c r="N33" s="8"/>
      <c r="P33" s="85">
        <v>-18500</v>
      </c>
      <c r="Q33" s="8"/>
      <c r="S33" s="85">
        <f>+T29</f>
        <v>7000</v>
      </c>
      <c r="T33" s="8"/>
      <c r="V33" s="85">
        <f>+W29</f>
        <v>-7968.3300000000017</v>
      </c>
      <c r="W33" s="8"/>
      <c r="X33" s="7"/>
      <c r="Y33" s="85">
        <v>8414.6200000000026</v>
      </c>
      <c r="Z33" s="8"/>
      <c r="AA33" s="7"/>
      <c r="AB33" s="85">
        <v>17660.84</v>
      </c>
      <c r="AC33" s="8"/>
      <c r="AD33" s="7"/>
      <c r="AE33" s="85">
        <v>2053.8299999999981</v>
      </c>
      <c r="AF33" s="8"/>
      <c r="AG33" s="7"/>
      <c r="AH33" s="6">
        <v>1570</v>
      </c>
      <c r="AI33" s="8"/>
      <c r="AJ33" s="7"/>
      <c r="AK33" s="6">
        <v>0</v>
      </c>
      <c r="AL33" s="8"/>
      <c r="AM33" s="7"/>
      <c r="AN33" s="6">
        <v>0</v>
      </c>
      <c r="AO33" s="8"/>
      <c r="AQ33" s="6">
        <f>+AR29</f>
        <v>0</v>
      </c>
      <c r="AR33" s="8"/>
      <c r="AT33" s="9">
        <v>0</v>
      </c>
      <c r="AU33" s="8"/>
    </row>
    <row r="34" spans="1:47" ht="19.5" customHeight="1" x14ac:dyDescent="0.2">
      <c r="A34" s="3"/>
      <c r="D34" s="32"/>
      <c r="E34" s="8">
        <f>+D33</f>
        <v>4501.9999999999991</v>
      </c>
      <c r="G34" s="32"/>
      <c r="H34" s="8">
        <f>+G33</f>
        <v>3413.37</v>
      </c>
      <c r="J34" s="86"/>
      <c r="K34" s="8">
        <v>-3000</v>
      </c>
      <c r="M34" s="86"/>
      <c r="N34" s="8">
        <v>-4698.17</v>
      </c>
      <c r="P34" s="86"/>
      <c r="Q34" s="8">
        <v>-18500</v>
      </c>
      <c r="S34" s="86"/>
      <c r="T34" s="8">
        <f>+S32+S33</f>
        <v>7000</v>
      </c>
      <c r="V34" s="86"/>
      <c r="W34" s="8">
        <f>+V32+V33</f>
        <v>-7968.3300000000017</v>
      </c>
      <c r="X34" s="7"/>
      <c r="Y34" s="86"/>
      <c r="Z34" s="8">
        <v>8414.6200000000026</v>
      </c>
      <c r="AA34" s="7"/>
      <c r="AB34" s="86"/>
      <c r="AC34" s="8">
        <f>+AB32+AB33</f>
        <v>17660.84</v>
      </c>
      <c r="AD34" s="7"/>
      <c r="AE34" s="86"/>
      <c r="AF34" s="8">
        <v>2053.8299999999981</v>
      </c>
      <c r="AG34" s="7"/>
      <c r="AH34" s="7"/>
      <c r="AI34" s="8">
        <f>+AH32+AH33</f>
        <v>1570</v>
      </c>
      <c r="AJ34" s="7"/>
      <c r="AK34" s="7"/>
      <c r="AL34" s="8">
        <f>+AK32+AK33</f>
        <v>7500</v>
      </c>
      <c r="AM34" s="7"/>
      <c r="AN34" s="7"/>
      <c r="AO34" s="8">
        <f>+AN32+AN33</f>
        <v>7500</v>
      </c>
      <c r="AQ34" s="7"/>
      <c r="AR34" s="8">
        <f>+AQ33+AQ32</f>
        <v>0</v>
      </c>
      <c r="AT34" s="7"/>
      <c r="AU34" s="8">
        <v>2458.5500000000002</v>
      </c>
    </row>
    <row r="35" spans="1:47" ht="19.5" customHeight="1" x14ac:dyDescent="0.2">
      <c r="A35" s="3"/>
      <c r="C35" s="47"/>
      <c r="D35" s="47"/>
      <c r="E35" s="8"/>
      <c r="F35" s="47"/>
      <c r="G35" s="47"/>
      <c r="H35" s="8"/>
      <c r="I35" s="47"/>
      <c r="J35" s="86"/>
      <c r="K35" s="8"/>
      <c r="L35" s="47"/>
      <c r="M35" s="86"/>
      <c r="N35" s="8"/>
      <c r="O35" s="47"/>
      <c r="P35" s="86"/>
      <c r="Q35" s="8"/>
      <c r="R35" s="47"/>
      <c r="S35" s="86"/>
      <c r="T35" s="8"/>
      <c r="V35" s="86"/>
      <c r="W35" s="8"/>
      <c r="X35" s="7"/>
      <c r="Y35" s="86"/>
      <c r="Z35" s="8"/>
      <c r="AA35" s="7"/>
      <c r="AB35" s="86"/>
      <c r="AC35" s="8"/>
      <c r="AD35" s="7"/>
      <c r="AE35" s="86"/>
      <c r="AF35" s="8"/>
      <c r="AG35" s="7"/>
      <c r="AH35" s="7"/>
      <c r="AI35" s="8"/>
      <c r="AJ35" s="7"/>
      <c r="AK35" s="7"/>
      <c r="AL35" s="8"/>
      <c r="AM35" s="7"/>
      <c r="AN35" s="7"/>
      <c r="AO35" s="8"/>
      <c r="AQ35" s="7"/>
      <c r="AR35" s="8"/>
      <c r="AT35" s="7"/>
      <c r="AU35" s="8"/>
    </row>
    <row r="36" spans="1:47" ht="19.5" customHeight="1" x14ac:dyDescent="0.2">
      <c r="A36" s="3"/>
      <c r="C36" s="112"/>
      <c r="D36" s="112"/>
      <c r="E36" s="112"/>
      <c r="F36" s="112"/>
      <c r="G36" s="112"/>
      <c r="H36" s="112"/>
      <c r="I36" s="112"/>
      <c r="L36" s="112"/>
      <c r="O36" s="112"/>
      <c r="R36" s="112"/>
      <c r="T36" s="47"/>
      <c r="X36" s="7"/>
      <c r="AA36" s="7"/>
      <c r="AD36" s="7"/>
      <c r="AG36" s="7"/>
      <c r="AJ36" s="7"/>
      <c r="AM36" s="7"/>
      <c r="AN36" s="7"/>
      <c r="AO36" s="7"/>
    </row>
    <row r="37" spans="1:47" x14ac:dyDescent="0.2">
      <c r="A37" s="20" t="s">
        <v>43</v>
      </c>
      <c r="AK37" s="114"/>
    </row>
    <row r="38" spans="1:47" x14ac:dyDescent="0.2">
      <c r="A38" t="s">
        <v>47</v>
      </c>
      <c r="S38" s="95"/>
      <c r="V38" s="95"/>
      <c r="Y38" s="95"/>
      <c r="AB38" s="95"/>
      <c r="AE38" s="96"/>
      <c r="AI38" s="113"/>
    </row>
    <row r="39" spans="1:47" x14ac:dyDescent="0.2">
      <c r="A39" s="76"/>
      <c r="B39" s="147" t="s">
        <v>785</v>
      </c>
      <c r="C39" s="76"/>
      <c r="D39" s="76"/>
      <c r="E39" s="76"/>
      <c r="F39" s="76"/>
      <c r="G39" s="76"/>
      <c r="H39" s="76"/>
      <c r="I39" s="76"/>
      <c r="J39" s="87"/>
      <c r="K39" s="88"/>
      <c r="L39" s="76"/>
      <c r="M39" s="87"/>
      <c r="N39" s="88"/>
      <c r="O39" s="76"/>
      <c r="P39" s="87"/>
      <c r="Q39" s="88"/>
      <c r="R39" s="76"/>
      <c r="S39" s="87"/>
      <c r="T39" s="76"/>
      <c r="U39" s="76"/>
      <c r="V39" s="87"/>
      <c r="W39" s="76"/>
      <c r="X39" s="76"/>
      <c r="Y39" s="87"/>
      <c r="Z39" s="76"/>
      <c r="AA39" s="76"/>
      <c r="AB39" s="87"/>
      <c r="AC39" s="76"/>
      <c r="AD39" s="76"/>
      <c r="AE39" s="88"/>
      <c r="AF39" s="76"/>
      <c r="AG39" s="76"/>
      <c r="AH39" s="76"/>
      <c r="AI39" s="113"/>
      <c r="AL39" s="76"/>
      <c r="AM39" s="76"/>
    </row>
    <row r="40" spans="1:47" x14ac:dyDescent="0.2">
      <c r="A40" s="76"/>
      <c r="C40" s="76"/>
      <c r="D40" s="76"/>
      <c r="E40" s="76"/>
      <c r="F40" s="76"/>
      <c r="G40" s="76"/>
      <c r="H40" s="76"/>
      <c r="I40" s="76"/>
      <c r="J40" s="87"/>
      <c r="K40" s="88"/>
      <c r="L40" s="76"/>
      <c r="M40" s="87"/>
      <c r="N40" s="88"/>
      <c r="O40" s="76"/>
      <c r="P40" s="87"/>
      <c r="Q40" s="88"/>
      <c r="R40" s="76"/>
      <c r="S40" s="87"/>
      <c r="T40" s="76"/>
      <c r="U40" s="76"/>
      <c r="V40" s="87"/>
      <c r="W40" s="76"/>
      <c r="X40" s="76"/>
      <c r="Y40" s="87"/>
      <c r="Z40" s="76"/>
      <c r="AA40" s="76"/>
      <c r="AB40" s="87"/>
      <c r="AC40" s="76"/>
      <c r="AD40" s="76"/>
      <c r="AE40" s="88"/>
      <c r="AF40" s="76"/>
      <c r="AG40" s="76"/>
      <c r="AH40" s="76"/>
      <c r="AI40" s="113"/>
      <c r="AL40" s="76"/>
      <c r="AM40" s="76"/>
    </row>
    <row r="41" spans="1:47" x14ac:dyDescent="0.2">
      <c r="A41" s="70" t="s">
        <v>414</v>
      </c>
      <c r="B41" s="76"/>
      <c r="C41" s="76"/>
      <c r="D41" s="76"/>
      <c r="E41" s="76"/>
      <c r="F41" s="76"/>
      <c r="G41" s="76"/>
      <c r="H41" s="76"/>
      <c r="I41" s="76"/>
      <c r="J41" s="87"/>
      <c r="K41" s="88"/>
      <c r="L41" s="76"/>
      <c r="M41" s="87"/>
      <c r="N41" s="88"/>
      <c r="O41" s="76"/>
      <c r="P41" s="87"/>
      <c r="Q41" s="88"/>
      <c r="R41" s="76"/>
      <c r="S41" s="87"/>
      <c r="T41" s="76"/>
      <c r="U41" s="76"/>
      <c r="V41" s="87"/>
      <c r="W41" s="76"/>
      <c r="X41" s="76"/>
      <c r="Y41" s="87"/>
      <c r="Z41" s="76"/>
      <c r="AA41" s="76"/>
      <c r="AB41" s="87"/>
      <c r="AC41" s="76"/>
      <c r="AD41" s="76"/>
      <c r="AE41" s="88"/>
      <c r="AF41" s="76"/>
      <c r="AG41" s="76"/>
      <c r="AH41" s="76"/>
      <c r="AI41" s="113"/>
      <c r="AL41" s="76"/>
      <c r="AM41" s="76"/>
    </row>
    <row r="42" spans="1:47" x14ac:dyDescent="0.2">
      <c r="B42" s="70" t="s">
        <v>107</v>
      </c>
      <c r="C42" s="76"/>
      <c r="D42" s="76"/>
      <c r="E42" s="76"/>
      <c r="F42" s="76"/>
      <c r="G42" s="76"/>
      <c r="H42" s="76"/>
      <c r="I42" s="76"/>
      <c r="J42" s="87"/>
      <c r="K42" s="88"/>
      <c r="L42" s="76"/>
      <c r="M42" s="87"/>
      <c r="N42" s="88"/>
      <c r="O42" s="76"/>
      <c r="P42" s="87"/>
      <c r="Q42" s="72"/>
      <c r="R42" s="76"/>
      <c r="S42" s="87"/>
      <c r="T42" s="76"/>
      <c r="U42" s="76"/>
      <c r="V42" s="87"/>
      <c r="W42" s="76"/>
      <c r="X42" s="76"/>
      <c r="Y42" s="87"/>
      <c r="Z42" s="76"/>
      <c r="AA42" s="76"/>
      <c r="AB42" s="87"/>
      <c r="AC42" s="76"/>
      <c r="AD42" s="76"/>
      <c r="AE42" s="88"/>
      <c r="AF42" s="76"/>
      <c r="AG42" s="76"/>
      <c r="AH42" s="76"/>
      <c r="AI42" s="76"/>
      <c r="AJ42" s="76"/>
      <c r="AK42" s="114"/>
      <c r="AL42" s="76"/>
      <c r="AM42" s="76"/>
    </row>
    <row r="43" spans="1:47" x14ac:dyDescent="0.2">
      <c r="A43" s="76"/>
      <c r="B43" s="101" t="s">
        <v>786</v>
      </c>
      <c r="C43" s="76"/>
      <c r="D43" s="76"/>
      <c r="E43" s="151">
        <v>330.95</v>
      </c>
      <c r="F43" s="76"/>
      <c r="G43" s="76"/>
      <c r="H43" s="151">
        <f>+'kolommenbalans 2023'!K38</f>
        <v>372.89999999999986</v>
      </c>
      <c r="I43" s="76"/>
      <c r="J43" s="87"/>
      <c r="L43" s="76"/>
      <c r="N43" s="88"/>
      <c r="O43" s="76"/>
      <c r="P43" s="87"/>
      <c r="R43" s="76"/>
      <c r="S43" s="72">
        <f>-'kolommenbalans 2018'!K38</f>
        <v>0</v>
      </c>
      <c r="U43" s="76"/>
      <c r="W43" s="76"/>
      <c r="X43" s="76"/>
      <c r="Z43" s="76"/>
      <c r="AA43" s="76"/>
      <c r="AB43" s="87"/>
      <c r="AC43" s="76"/>
      <c r="AD43" s="76"/>
      <c r="AE43" s="88"/>
      <c r="AF43" s="76"/>
      <c r="AG43" s="76"/>
      <c r="AH43" s="76"/>
      <c r="AI43" s="76"/>
      <c r="AJ43" s="76"/>
      <c r="AK43" s="76"/>
      <c r="AL43" s="76"/>
      <c r="AM43" s="76"/>
    </row>
    <row r="44" spans="1:47" x14ac:dyDescent="0.2">
      <c r="A44" s="76"/>
      <c r="B44" s="70"/>
      <c r="C44" s="76"/>
      <c r="D44" s="76"/>
      <c r="E44" s="76"/>
      <c r="F44" s="76"/>
      <c r="G44" s="76"/>
      <c r="H44" s="76"/>
      <c r="I44" s="76"/>
      <c r="J44" s="87"/>
      <c r="K44" s="88"/>
      <c r="L44" s="76"/>
      <c r="M44" s="87"/>
      <c r="N44" s="88"/>
      <c r="O44" s="76"/>
      <c r="P44" s="87"/>
      <c r="Q44" s="88"/>
      <c r="R44" s="76"/>
      <c r="S44" s="72"/>
      <c r="T44" s="79"/>
      <c r="U44" s="76"/>
      <c r="V44" s="72"/>
      <c r="W44" s="76"/>
      <c r="X44" s="76"/>
      <c r="Z44" s="76"/>
      <c r="AA44" s="76"/>
      <c r="AB44" s="87"/>
      <c r="AC44" s="76"/>
      <c r="AD44" s="76"/>
      <c r="AE44" s="88"/>
      <c r="AF44" s="76"/>
      <c r="AG44" s="76"/>
      <c r="AH44" s="76"/>
      <c r="AI44" s="76"/>
      <c r="AJ44" s="76"/>
      <c r="AK44" s="76"/>
      <c r="AL44" s="76"/>
      <c r="AM44" s="76"/>
    </row>
    <row r="45" spans="1:47" x14ac:dyDescent="0.2">
      <c r="A45" s="70" t="s">
        <v>46</v>
      </c>
      <c r="B45" s="76"/>
      <c r="C45" s="76"/>
      <c r="D45" s="76"/>
      <c r="E45" s="76"/>
      <c r="F45" s="76"/>
      <c r="G45" s="76"/>
      <c r="H45" s="76"/>
      <c r="I45" s="76"/>
      <c r="J45" s="87"/>
      <c r="K45" s="88"/>
      <c r="L45" s="76"/>
      <c r="M45" s="87"/>
      <c r="N45" s="88"/>
      <c r="O45" s="76"/>
      <c r="P45" s="87"/>
      <c r="Q45" s="88"/>
      <c r="R45" s="76"/>
      <c r="S45" s="87"/>
      <c r="T45" s="76"/>
      <c r="U45" s="76"/>
      <c r="V45" s="87"/>
      <c r="W45" s="76"/>
      <c r="X45" s="76"/>
      <c r="Y45" s="87"/>
      <c r="Z45" s="76"/>
      <c r="AA45" s="76"/>
      <c r="AB45" s="87"/>
      <c r="AC45" s="76"/>
      <c r="AD45" s="76"/>
      <c r="AE45" s="88"/>
      <c r="AF45" s="76"/>
      <c r="AG45" s="76"/>
      <c r="AH45" s="76"/>
      <c r="AI45" s="76"/>
      <c r="AJ45" s="76"/>
      <c r="AK45" s="76"/>
      <c r="AL45" s="76"/>
      <c r="AM45" s="76"/>
    </row>
    <row r="46" spans="1:47" ht="40.5" customHeight="1" x14ac:dyDescent="0.2">
      <c r="B46" s="228" t="s">
        <v>790</v>
      </c>
      <c r="C46" s="229"/>
      <c r="D46" s="229"/>
      <c r="E46" s="229"/>
      <c r="F46" s="229"/>
      <c r="G46" s="229"/>
      <c r="H46" s="229"/>
      <c r="I46" s="229"/>
      <c r="J46" s="229"/>
      <c r="K46" s="229"/>
      <c r="L46" s="229"/>
      <c r="M46" s="229"/>
      <c r="N46" s="229"/>
      <c r="O46" s="229"/>
      <c r="P46" s="229"/>
      <c r="Q46" s="229"/>
      <c r="R46" s="229"/>
      <c r="S46" s="229"/>
      <c r="T46" s="229"/>
      <c r="U46" s="98"/>
      <c r="V46" s="98"/>
      <c r="W46" s="98"/>
      <c r="X46" s="98"/>
      <c r="Y46" s="98"/>
      <c r="Z46" s="98"/>
      <c r="AA46" s="76"/>
      <c r="AB46" s="87"/>
      <c r="AC46" s="76"/>
      <c r="AD46" s="76"/>
      <c r="AE46" s="88"/>
      <c r="AF46" s="76"/>
      <c r="AG46" s="76"/>
      <c r="AH46" s="76"/>
      <c r="AI46" s="76"/>
      <c r="AJ46" s="76"/>
      <c r="AK46" s="76"/>
      <c r="AL46" s="76"/>
      <c r="AM46" s="76"/>
      <c r="AQ46" s="5"/>
      <c r="AR46" s="44"/>
      <c r="AT46" s="5"/>
      <c r="AU46" s="44"/>
    </row>
    <row r="48" spans="1:47" x14ac:dyDescent="0.2">
      <c r="A48" s="147" t="s">
        <v>746</v>
      </c>
    </row>
    <row r="49" spans="1:20" x14ac:dyDescent="0.2">
      <c r="A49" s="147"/>
      <c r="C49" s="148" t="s">
        <v>791</v>
      </c>
      <c r="D49" s="29"/>
      <c r="E49" s="4">
        <f>+'kolommenbalans 2024'!E5</f>
        <v>-4051.37</v>
      </c>
      <c r="F49" s="29"/>
      <c r="G49" s="29"/>
      <c r="H49" s="4"/>
      <c r="I49" s="29"/>
    </row>
    <row r="50" spans="1:20" x14ac:dyDescent="0.2">
      <c r="C50" s="148" t="s">
        <v>792</v>
      </c>
      <c r="D50" s="148"/>
      <c r="E50" s="164">
        <f>+'kolommenbalans 2024'!E44</f>
        <v>-4502</v>
      </c>
      <c r="F50" s="148"/>
      <c r="G50" s="148"/>
      <c r="H50" s="193"/>
      <c r="I50" s="148"/>
      <c r="J50" s="162"/>
      <c r="L50" s="148"/>
      <c r="N50" s="206"/>
      <c r="O50" s="148"/>
    </row>
    <row r="51" spans="1:20" x14ac:dyDescent="0.2">
      <c r="C51" s="148" t="s">
        <v>793</v>
      </c>
      <c r="D51" s="148"/>
      <c r="E51" s="4">
        <f>+E50+E49</f>
        <v>-8553.369999999999</v>
      </c>
      <c r="F51" s="148"/>
      <c r="G51" s="148"/>
      <c r="H51" s="4"/>
      <c r="I51" s="148"/>
      <c r="J51" s="146"/>
      <c r="L51" s="148"/>
      <c r="N51" s="208"/>
      <c r="O51" s="147"/>
      <c r="T51" s="47"/>
    </row>
    <row r="52" spans="1:20" x14ac:dyDescent="0.2">
      <c r="E52" s="4"/>
      <c r="H52" s="4"/>
    </row>
    <row r="53" spans="1:20" x14ac:dyDescent="0.2">
      <c r="A53" s="147" t="s">
        <v>772</v>
      </c>
      <c r="H53" s="4"/>
    </row>
    <row r="54" spans="1:20" x14ac:dyDescent="0.2">
      <c r="A54" s="147"/>
      <c r="C54" s="148" t="s">
        <v>795</v>
      </c>
      <c r="E54" s="4">
        <f>+'kolommenbalans 2024'!F5</f>
        <v>-3600</v>
      </c>
      <c r="H54" s="4"/>
    </row>
    <row r="55" spans="1:20" ht="13.5" thickBot="1" x14ac:dyDescent="0.25">
      <c r="A55" s="147"/>
      <c r="C55" s="148" t="s">
        <v>794</v>
      </c>
      <c r="E55" s="9">
        <v>1200</v>
      </c>
      <c r="H55" s="4"/>
    </row>
    <row r="56" spans="1:20" x14ac:dyDescent="0.2">
      <c r="C56" s="148" t="s">
        <v>796</v>
      </c>
      <c r="D56" s="148"/>
      <c r="E56" s="4">
        <f>+E55+E54</f>
        <v>-2400</v>
      </c>
      <c r="F56" s="148"/>
      <c r="G56" s="148"/>
      <c r="H56" s="4"/>
      <c r="I56" s="148"/>
    </row>
    <row r="57" spans="1:20" x14ac:dyDescent="0.2">
      <c r="E57" s="4"/>
      <c r="H57" s="4"/>
    </row>
  </sheetData>
  <mergeCells count="31">
    <mergeCell ref="B46:T46"/>
    <mergeCell ref="AE4:AF4"/>
    <mergeCell ref="AH4:AI4"/>
    <mergeCell ref="AK4:AL4"/>
    <mergeCell ref="AN4:AO4"/>
    <mergeCell ref="AQ4:AR4"/>
    <mergeCell ref="AT4:AU4"/>
    <mergeCell ref="AQ3:AR3"/>
    <mergeCell ref="AT3:AU3"/>
    <mergeCell ref="G4:H4"/>
    <mergeCell ref="J4:K4"/>
    <mergeCell ref="M4:N4"/>
    <mergeCell ref="P4:Q4"/>
    <mergeCell ref="S4:T4"/>
    <mergeCell ref="V4:W4"/>
    <mergeCell ref="Y4:Z4"/>
    <mergeCell ref="AB4:AC4"/>
    <mergeCell ref="Y3:Z3"/>
    <mergeCell ref="AB3:AC3"/>
    <mergeCell ref="AE3:AF3"/>
    <mergeCell ref="AH3:AI3"/>
    <mergeCell ref="D3:E3"/>
    <mergeCell ref="D4:E4"/>
    <mergeCell ref="AK3:AL3"/>
    <mergeCell ref="AN3:AO3"/>
    <mergeCell ref="G3:H3"/>
    <mergeCell ref="J3:K3"/>
    <mergeCell ref="M3:N3"/>
    <mergeCell ref="P3:Q3"/>
    <mergeCell ref="S3:T3"/>
    <mergeCell ref="V3:W3"/>
  </mergeCells>
  <pageMargins left="0.74803149606299213" right="0.74803149606299213" top="0.98425196850393704" bottom="0.78740157480314965" header="0.51181102362204722" footer="0.51181102362204722"/>
  <pageSetup paperSize="9" scale="59" orientation="portrait" r:id="rId1"/>
  <headerFooter alignWithMargins="0">
    <oddFooter>&amp;L&amp;F, &amp;A&amp;R&amp;D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V73"/>
  <sheetViews>
    <sheetView zoomScaleNormal="100" workbookViewId="0">
      <selection activeCell="D9" sqref="D9"/>
    </sheetView>
  </sheetViews>
  <sheetFormatPr defaultColWidth="8.85546875" defaultRowHeight="12.75" x14ac:dyDescent="0.2"/>
  <cols>
    <col min="1" max="1" width="6.42578125" customWidth="1"/>
    <col min="2" max="2" width="6.140625" customWidth="1"/>
    <col min="3" max="3" width="24.140625" customWidth="1"/>
    <col min="6" max="6" width="2.42578125" customWidth="1"/>
    <col min="9" max="9" width="2.42578125" customWidth="1"/>
    <col min="12" max="12" width="2.42578125" customWidth="1"/>
    <col min="15" max="15" width="2.42578125" customWidth="1"/>
    <col min="16" max="16" width="9.140625" style="5" customWidth="1"/>
    <col min="18" max="18" width="5.85546875" customWidth="1"/>
    <col min="20" max="20" width="10.28515625" bestFit="1" customWidth="1"/>
    <col min="21" max="21" width="20.42578125" customWidth="1"/>
  </cols>
  <sheetData>
    <row r="1" spans="1:20" ht="20.25" x14ac:dyDescent="0.3">
      <c r="A1" s="10" t="s">
        <v>74</v>
      </c>
    </row>
    <row r="3" spans="1:20" x14ac:dyDescent="0.2">
      <c r="D3" s="249" t="s">
        <v>290</v>
      </c>
      <c r="E3" s="236"/>
      <c r="F3" s="27"/>
      <c r="G3" s="249" t="s">
        <v>244</v>
      </c>
      <c r="H3" s="236"/>
      <c r="I3" s="27"/>
      <c r="J3" s="249" t="s">
        <v>230</v>
      </c>
      <c r="K3" s="236"/>
      <c r="L3" s="27"/>
      <c r="M3" s="251" t="s">
        <v>164</v>
      </c>
      <c r="N3" s="236"/>
      <c r="O3" s="27"/>
      <c r="P3" s="250" t="s">
        <v>320</v>
      </c>
      <c r="Q3" s="236"/>
      <c r="S3" s="251" t="s">
        <v>75</v>
      </c>
      <c r="T3" s="236"/>
    </row>
    <row r="4" spans="1:20" x14ac:dyDescent="0.2">
      <c r="D4" s="232" t="s">
        <v>73</v>
      </c>
      <c r="E4" s="231"/>
      <c r="F4" s="28"/>
      <c r="G4" s="232" t="s">
        <v>73</v>
      </c>
      <c r="H4" s="231"/>
      <c r="I4" s="28"/>
      <c r="J4" s="232" t="s">
        <v>73</v>
      </c>
      <c r="K4" s="231"/>
      <c r="L4" s="28"/>
      <c r="M4" s="232" t="s">
        <v>73</v>
      </c>
      <c r="N4" s="231"/>
      <c r="O4" s="28"/>
      <c r="P4" s="232" t="s">
        <v>73</v>
      </c>
      <c r="Q4" s="231"/>
      <c r="S4" s="232" t="s">
        <v>73</v>
      </c>
      <c r="T4" s="231"/>
    </row>
    <row r="5" spans="1:20" ht="15.75" x14ac:dyDescent="0.25">
      <c r="A5" s="2" t="s">
        <v>0</v>
      </c>
      <c r="D5" s="5"/>
      <c r="E5" s="8"/>
      <c r="F5" s="7"/>
      <c r="G5" s="5"/>
      <c r="H5" s="8"/>
      <c r="I5" s="7"/>
      <c r="J5" s="5"/>
      <c r="K5" s="8"/>
      <c r="L5" s="7"/>
      <c r="M5" s="5"/>
      <c r="N5" s="8"/>
      <c r="O5" s="7"/>
      <c r="Q5" s="8"/>
      <c r="S5" s="5"/>
      <c r="T5" s="8"/>
    </row>
    <row r="6" spans="1:20" x14ac:dyDescent="0.2">
      <c r="A6" t="s">
        <v>11</v>
      </c>
      <c r="D6">
        <f>-'kolommenbalans 2014'!I17</f>
        <v>7500</v>
      </c>
      <c r="E6" s="8"/>
      <c r="F6" s="7"/>
      <c r="H6" s="8"/>
      <c r="I6" s="7"/>
      <c r="K6" s="8"/>
      <c r="L6" s="7"/>
      <c r="N6" s="8"/>
      <c r="O6" s="7"/>
      <c r="P6" s="5">
        <v>7500</v>
      </c>
      <c r="Q6" s="8"/>
      <c r="T6" s="8"/>
    </row>
    <row r="7" spans="1:20" x14ac:dyDescent="0.2">
      <c r="A7" t="s">
        <v>1</v>
      </c>
      <c r="D7" s="5">
        <v>0</v>
      </c>
      <c r="E7" s="8"/>
      <c r="F7" s="7"/>
      <c r="G7" s="5">
        <v>0</v>
      </c>
      <c r="H7" s="8"/>
      <c r="I7" s="7"/>
      <c r="J7" s="5">
        <v>0</v>
      </c>
      <c r="K7" s="8"/>
      <c r="L7" s="7"/>
      <c r="M7" s="5">
        <v>0</v>
      </c>
      <c r="N7" s="8"/>
      <c r="O7" s="7"/>
      <c r="P7" s="5">
        <v>0</v>
      </c>
      <c r="Q7" s="8"/>
      <c r="S7" s="5">
        <v>0</v>
      </c>
      <c r="T7" s="8"/>
    </row>
    <row r="8" spans="1:20" x14ac:dyDescent="0.2">
      <c r="A8" t="s">
        <v>2</v>
      </c>
      <c r="D8" s="5"/>
      <c r="E8" s="8"/>
      <c r="F8" s="7"/>
      <c r="G8" s="5">
        <v>7500</v>
      </c>
      <c r="H8" s="8"/>
      <c r="I8" s="7"/>
      <c r="J8" s="5">
        <v>7500</v>
      </c>
      <c r="K8" s="8"/>
      <c r="L8" s="7"/>
      <c r="M8" s="5">
        <v>7500</v>
      </c>
      <c r="N8" s="8"/>
      <c r="O8" s="7"/>
      <c r="Q8" s="8"/>
      <c r="S8" s="5">
        <v>7500</v>
      </c>
      <c r="T8" s="8"/>
    </row>
    <row r="9" spans="1:20" ht="13.5" thickBot="1" x14ac:dyDescent="0.25">
      <c r="A9" t="s">
        <v>308</v>
      </c>
      <c r="D9" s="6">
        <f>-'kolommenbalans 2014'!J15-'kolommenbalans 2014'!K20</f>
        <v>182.76</v>
      </c>
      <c r="E9" s="8"/>
      <c r="F9" s="7"/>
      <c r="G9" s="6">
        <f>+'kolommenbalans 2014'!K17</f>
        <v>112.35</v>
      </c>
      <c r="H9" s="8"/>
      <c r="I9" s="7"/>
      <c r="J9" s="6">
        <v>62</v>
      </c>
      <c r="K9" s="8"/>
      <c r="L9" s="7"/>
      <c r="M9" s="6">
        <f>+'winst en verlies 2011'!D9</f>
        <v>69.2</v>
      </c>
      <c r="N9" s="8"/>
      <c r="O9" s="7"/>
      <c r="P9" s="6">
        <f>+'meerjarenbegroting '!F8</f>
        <v>100</v>
      </c>
      <c r="Q9" s="8"/>
      <c r="S9" s="6">
        <v>86.56</v>
      </c>
      <c r="T9" s="8"/>
    </row>
    <row r="10" spans="1:20" ht="19.5" customHeight="1" x14ac:dyDescent="0.2">
      <c r="A10" s="3" t="s">
        <v>3</v>
      </c>
      <c r="D10" s="7"/>
      <c r="E10" s="8">
        <f>SUM(D6:D9)</f>
        <v>7682.76</v>
      </c>
      <c r="F10" s="7"/>
      <c r="G10" s="7"/>
      <c r="H10" s="8">
        <f>SUM(G7:G9)</f>
        <v>7612.35</v>
      </c>
      <c r="I10" s="7"/>
      <c r="J10" s="7"/>
      <c r="K10" s="8">
        <f>SUM(J7:J9)</f>
        <v>7562</v>
      </c>
      <c r="L10" s="7"/>
      <c r="M10" s="7"/>
      <c r="N10" s="8">
        <f>SUM(M7:M9)</f>
        <v>7569.2</v>
      </c>
      <c r="O10" s="7"/>
      <c r="P10" s="7"/>
      <c r="Q10" s="8">
        <f>SUM(P6:P9)</f>
        <v>7600</v>
      </c>
      <c r="S10" s="7"/>
      <c r="T10" s="8">
        <v>7586.56</v>
      </c>
    </row>
    <row r="11" spans="1:20" x14ac:dyDescent="0.2">
      <c r="D11" s="5"/>
      <c r="E11" s="8"/>
      <c r="F11" s="7"/>
      <c r="G11" s="5"/>
      <c r="H11" s="8"/>
      <c r="I11" s="7"/>
      <c r="J11" s="5"/>
      <c r="K11" s="8"/>
      <c r="L11" s="7"/>
      <c r="M11" s="5"/>
      <c r="N11" s="8"/>
      <c r="O11" s="7"/>
      <c r="Q11" s="8"/>
      <c r="S11" s="5"/>
      <c r="T11" s="8"/>
    </row>
    <row r="12" spans="1:20" x14ac:dyDescent="0.2">
      <c r="A12" t="s">
        <v>4</v>
      </c>
      <c r="D12" s="5">
        <v>0</v>
      </c>
      <c r="E12" s="8"/>
      <c r="F12" s="7"/>
      <c r="G12" s="5">
        <v>0</v>
      </c>
      <c r="H12" s="8"/>
      <c r="I12" s="7"/>
      <c r="J12" s="5">
        <v>0</v>
      </c>
      <c r="K12" s="8"/>
      <c r="L12" s="7"/>
      <c r="M12" s="5">
        <v>0</v>
      </c>
      <c r="N12" s="8"/>
      <c r="O12" s="7"/>
      <c r="P12" s="5">
        <v>0</v>
      </c>
      <c r="Q12" s="8"/>
      <c r="S12" s="5">
        <v>0</v>
      </c>
      <c r="T12" s="8"/>
    </row>
    <row r="13" spans="1:20" ht="13.5" thickBot="1" x14ac:dyDescent="0.25">
      <c r="A13" t="s">
        <v>5</v>
      </c>
      <c r="D13" s="6">
        <v>0</v>
      </c>
      <c r="E13" s="8"/>
      <c r="F13" s="7"/>
      <c r="G13" s="6">
        <v>0</v>
      </c>
      <c r="H13" s="8"/>
      <c r="I13" s="7"/>
      <c r="J13" s="6">
        <v>0</v>
      </c>
      <c r="K13" s="8"/>
      <c r="L13" s="7"/>
      <c r="M13" s="6">
        <v>0</v>
      </c>
      <c r="N13" s="8"/>
      <c r="O13" s="7"/>
      <c r="P13" s="6">
        <v>0</v>
      </c>
      <c r="Q13" s="8"/>
      <c r="S13" s="6">
        <v>0</v>
      </c>
      <c r="T13" s="8"/>
    </row>
    <row r="14" spans="1:20" ht="19.5" customHeight="1" x14ac:dyDescent="0.2">
      <c r="A14" s="3" t="s">
        <v>6</v>
      </c>
      <c r="D14" s="7"/>
      <c r="E14" s="8">
        <f>-SUM(D12:D13)</f>
        <v>0</v>
      </c>
      <c r="F14" s="7"/>
      <c r="G14" s="7"/>
      <c r="H14" s="8">
        <f>-SUM(G12:G13)</f>
        <v>0</v>
      </c>
      <c r="I14" s="7"/>
      <c r="J14" s="7"/>
      <c r="K14" s="8">
        <f>-SUM(J12:J13)</f>
        <v>0</v>
      </c>
      <c r="L14" s="7"/>
      <c r="M14" s="7"/>
      <c r="N14" s="8">
        <f>-SUM(M12:M13)</f>
        <v>0</v>
      </c>
      <c r="O14" s="7"/>
      <c r="P14" s="7"/>
      <c r="Q14" s="8">
        <f>-SUM(P12:P13)</f>
        <v>0</v>
      </c>
      <c r="S14" s="7"/>
      <c r="T14" s="8">
        <v>0</v>
      </c>
    </row>
    <row r="15" spans="1:20" ht="13.5" thickBot="1" x14ac:dyDescent="0.25">
      <c r="A15" t="s">
        <v>14</v>
      </c>
      <c r="D15" s="5"/>
      <c r="E15" s="19">
        <f>+E14/E10</f>
        <v>0</v>
      </c>
      <c r="F15" s="26"/>
      <c r="G15" s="5"/>
      <c r="H15" s="19">
        <f>+H14/H10</f>
        <v>0</v>
      </c>
      <c r="I15" s="26"/>
      <c r="J15" s="5"/>
      <c r="K15" s="19">
        <f>+K14/K10</f>
        <v>0</v>
      </c>
      <c r="L15" s="26"/>
      <c r="M15" s="5"/>
      <c r="N15" s="19">
        <f>+N14/N10</f>
        <v>0</v>
      </c>
      <c r="O15" s="26"/>
      <c r="Q15" s="19">
        <f>+Q14/Q10</f>
        <v>0</v>
      </c>
      <c r="S15" s="5"/>
      <c r="T15" s="19">
        <v>0</v>
      </c>
    </row>
    <row r="16" spans="1:20" ht="19.5" customHeight="1" x14ac:dyDescent="0.2">
      <c r="A16" s="3" t="s">
        <v>8</v>
      </c>
      <c r="D16" s="7"/>
      <c r="E16" s="8">
        <f>+E10+E14</f>
        <v>7682.76</v>
      </c>
      <c r="F16" s="7"/>
      <c r="G16" s="7"/>
      <c r="H16" s="8">
        <f>+H10+H14</f>
        <v>7612.35</v>
      </c>
      <c r="I16" s="7"/>
      <c r="J16" s="7"/>
      <c r="K16" s="8">
        <f>+K10+K14</f>
        <v>7562</v>
      </c>
      <c r="L16" s="7"/>
      <c r="M16" s="7"/>
      <c r="N16" s="8">
        <f>+N10+N14</f>
        <v>7569.2</v>
      </c>
      <c r="O16" s="7"/>
      <c r="P16" s="7"/>
      <c r="Q16" s="8">
        <f>+Q10+Q14</f>
        <v>7600</v>
      </c>
      <c r="S16" s="7"/>
      <c r="T16" s="8">
        <v>7586.56</v>
      </c>
    </row>
    <row r="17" spans="1:22" ht="13.5" thickBot="1" x14ac:dyDescent="0.25">
      <c r="A17" t="s">
        <v>7</v>
      </c>
      <c r="D17" s="5"/>
      <c r="E17" s="16">
        <v>0</v>
      </c>
      <c r="F17" s="7"/>
      <c r="G17" s="5"/>
      <c r="H17" s="16">
        <v>0</v>
      </c>
      <c r="I17" s="7"/>
      <c r="J17" s="5"/>
      <c r="K17" s="16">
        <v>0</v>
      </c>
      <c r="L17" s="7"/>
      <c r="M17" s="5"/>
      <c r="N17" s="16">
        <v>0</v>
      </c>
      <c r="O17" s="7"/>
      <c r="Q17" s="16">
        <v>0</v>
      </c>
      <c r="S17" s="5"/>
      <c r="T17" s="16">
        <v>0</v>
      </c>
    </row>
    <row r="18" spans="1:22" ht="19.5" customHeight="1" x14ac:dyDescent="0.2">
      <c r="A18" s="3" t="s">
        <v>9</v>
      </c>
      <c r="D18" s="7"/>
      <c r="E18" s="8">
        <f>+E17+E16</f>
        <v>7682.76</v>
      </c>
      <c r="F18" s="7"/>
      <c r="G18" s="7"/>
      <c r="H18" s="8">
        <f>+H17+H16</f>
        <v>7612.35</v>
      </c>
      <c r="I18" s="7"/>
      <c r="J18" s="7"/>
      <c r="K18" s="8">
        <f>+K17+K16</f>
        <v>7562</v>
      </c>
      <c r="L18" s="7"/>
      <c r="M18" s="7"/>
      <c r="N18" s="8">
        <f>+N17+N16</f>
        <v>7569.2</v>
      </c>
      <c r="O18" s="7"/>
      <c r="P18" s="7"/>
      <c r="Q18" s="8">
        <f>+Q17+Q16</f>
        <v>7600</v>
      </c>
      <c r="S18" s="7"/>
      <c r="T18" s="8">
        <v>7586.56</v>
      </c>
    </row>
    <row r="19" spans="1:22" x14ac:dyDescent="0.2">
      <c r="D19" s="5"/>
      <c r="E19" s="8"/>
      <c r="F19" s="7"/>
      <c r="G19" s="5"/>
      <c r="H19" s="8"/>
      <c r="I19" s="7"/>
      <c r="J19" s="5"/>
      <c r="K19" s="8"/>
      <c r="L19" s="7"/>
      <c r="M19" s="5"/>
      <c r="N19" s="8"/>
      <c r="O19" s="7"/>
      <c r="Q19" s="8"/>
      <c r="S19" s="5"/>
      <c r="T19" s="8"/>
    </row>
    <row r="20" spans="1:22" ht="15.75" x14ac:dyDescent="0.25">
      <c r="A20" s="2" t="s">
        <v>10</v>
      </c>
      <c r="D20" s="5"/>
      <c r="E20" s="8"/>
      <c r="F20" s="7"/>
      <c r="G20" s="5"/>
      <c r="H20" s="8"/>
      <c r="I20" s="7"/>
      <c r="J20" s="5"/>
      <c r="K20" s="8"/>
      <c r="L20" s="7"/>
      <c r="M20" s="5"/>
      <c r="N20" s="8"/>
      <c r="O20" s="7"/>
      <c r="Q20" s="8"/>
      <c r="S20" s="5"/>
      <c r="T20" s="8"/>
    </row>
    <row r="21" spans="1:22" x14ac:dyDescent="0.2">
      <c r="A21" t="s">
        <v>12</v>
      </c>
      <c r="D21" s="5">
        <f>-'kolommenbalans 2014'!G21</f>
        <v>6000</v>
      </c>
      <c r="E21" s="8"/>
      <c r="F21" s="7"/>
      <c r="G21" s="5">
        <v>0</v>
      </c>
      <c r="H21" s="8"/>
      <c r="I21" s="7"/>
      <c r="J21" s="5">
        <v>0</v>
      </c>
      <c r="K21" s="8"/>
      <c r="L21" s="7"/>
      <c r="M21" s="5">
        <v>10000</v>
      </c>
      <c r="N21" s="8"/>
      <c r="O21" s="7"/>
      <c r="P21" s="5">
        <v>7500</v>
      </c>
      <c r="Q21" s="8"/>
      <c r="S21" s="5">
        <v>5053.45</v>
      </c>
      <c r="T21" s="8"/>
    </row>
    <row r="22" spans="1:22" ht="13.5" thickBot="1" x14ac:dyDescent="0.25">
      <c r="A22" t="s">
        <v>5</v>
      </c>
      <c r="D22" s="6">
        <f>+'kolommenbalans 2014'!K17</f>
        <v>112.35</v>
      </c>
      <c r="E22" s="8"/>
      <c r="F22" s="7"/>
      <c r="G22" s="6">
        <v>100</v>
      </c>
      <c r="H22" s="8"/>
      <c r="I22" s="7"/>
      <c r="J22" s="6">
        <v>62</v>
      </c>
      <c r="K22" s="8"/>
      <c r="L22" s="7"/>
      <c r="M22" s="6">
        <f>+M9</f>
        <v>69.2</v>
      </c>
      <c r="N22" s="8"/>
      <c r="O22" s="7"/>
      <c r="P22" s="6">
        <f>+'meerjarenbegroting '!F21</f>
        <v>100</v>
      </c>
      <c r="Q22" s="8"/>
      <c r="S22" s="6">
        <v>74.56</v>
      </c>
      <c r="T22" s="8"/>
      <c r="V22" s="52"/>
    </row>
    <row r="23" spans="1:22" x14ac:dyDescent="0.2">
      <c r="D23" s="5"/>
      <c r="E23" s="8"/>
      <c r="F23" s="7"/>
      <c r="G23" s="5"/>
      <c r="H23" s="8"/>
      <c r="I23" s="7"/>
      <c r="J23" s="5"/>
      <c r="K23" s="8"/>
      <c r="L23" s="7"/>
      <c r="M23" s="5"/>
      <c r="N23" s="8"/>
      <c r="O23" s="7"/>
      <c r="Q23" s="8"/>
      <c r="S23" s="5"/>
      <c r="T23" s="8"/>
    </row>
    <row r="24" spans="1:22" ht="19.5" customHeight="1" x14ac:dyDescent="0.2">
      <c r="A24" s="3" t="s">
        <v>13</v>
      </c>
      <c r="D24" s="7"/>
      <c r="E24" s="8">
        <f>SUM(D20:D22)</f>
        <v>6112.35</v>
      </c>
      <c r="F24" s="7"/>
      <c r="G24" s="7"/>
      <c r="H24" s="8">
        <f>SUM(G20:G22)</f>
        <v>100</v>
      </c>
      <c r="I24" s="7"/>
      <c r="J24" s="7"/>
      <c r="K24" s="8">
        <f>SUM(J20:J22)</f>
        <v>62</v>
      </c>
      <c r="L24" s="7"/>
      <c r="M24" s="7"/>
      <c r="N24" s="8">
        <f>SUM(M20:M22)</f>
        <v>10069.200000000001</v>
      </c>
      <c r="O24" s="7"/>
      <c r="P24" s="7"/>
      <c r="Q24" s="8">
        <f>+P22+P21</f>
        <v>7600</v>
      </c>
      <c r="S24" s="7"/>
      <c r="T24" s="8">
        <v>5128.01</v>
      </c>
    </row>
    <row r="25" spans="1:22" x14ac:dyDescent="0.2">
      <c r="D25" s="5"/>
      <c r="E25" s="8"/>
      <c r="F25" s="7"/>
      <c r="G25" s="5"/>
      <c r="H25" s="8"/>
      <c r="I25" s="7"/>
      <c r="J25" s="5"/>
      <c r="K25" s="8"/>
      <c r="L25" s="7"/>
      <c r="M25" s="5"/>
      <c r="N25" s="8"/>
      <c r="O25" s="7"/>
      <c r="Q25" s="8"/>
      <c r="S25" s="5"/>
      <c r="T25" s="8"/>
      <c r="U25" s="52"/>
    </row>
    <row r="26" spans="1:22" ht="19.5" customHeight="1" x14ac:dyDescent="0.2">
      <c r="A26" s="1" t="s">
        <v>15</v>
      </c>
      <c r="D26" s="7"/>
      <c r="E26" s="8">
        <f>+E18-E24</f>
        <v>1570.4099999999999</v>
      </c>
      <c r="F26" s="7"/>
      <c r="G26" s="7"/>
      <c r="H26" s="8">
        <f>+H18-H24</f>
        <v>7512.35</v>
      </c>
      <c r="I26" s="7"/>
      <c r="J26" s="7"/>
      <c r="K26" s="8">
        <f>+K18-K24</f>
        <v>7500</v>
      </c>
      <c r="L26" s="7"/>
      <c r="M26" s="7"/>
      <c r="N26" s="8">
        <f>+N18-N24</f>
        <v>-2500.0000000000009</v>
      </c>
      <c r="O26" s="7"/>
      <c r="P26" s="7"/>
      <c r="Q26" s="8">
        <f>+Q18-Q24</f>
        <v>0</v>
      </c>
      <c r="S26" s="7"/>
      <c r="T26" s="8">
        <v>2458.5500000000002</v>
      </c>
    </row>
    <row r="27" spans="1:22" x14ac:dyDescent="0.2">
      <c r="D27" s="5"/>
      <c r="E27" s="7"/>
      <c r="F27" s="7"/>
      <c r="G27" s="5"/>
      <c r="H27" s="7"/>
      <c r="I27" s="7"/>
      <c r="J27" s="5"/>
      <c r="K27" s="7"/>
      <c r="L27" s="7"/>
      <c r="M27" s="5"/>
      <c r="N27" s="7"/>
      <c r="O27" s="7"/>
      <c r="Q27" s="7"/>
      <c r="S27" s="5"/>
      <c r="T27" s="7"/>
    </row>
    <row r="28" spans="1:22" x14ac:dyDescent="0.2">
      <c r="A28" s="20" t="s">
        <v>16</v>
      </c>
      <c r="D28" s="5"/>
      <c r="E28" s="7"/>
      <c r="F28" s="7"/>
      <c r="G28" s="5"/>
      <c r="H28" s="7"/>
      <c r="I28" s="7"/>
      <c r="J28" s="5"/>
      <c r="K28" s="7"/>
      <c r="L28" s="7"/>
      <c r="M28" s="5"/>
      <c r="N28" s="7"/>
      <c r="O28" s="7"/>
      <c r="Q28" s="7"/>
      <c r="S28" s="5"/>
      <c r="T28" s="7"/>
    </row>
    <row r="29" spans="1:22" x14ac:dyDescent="0.2">
      <c r="A29" t="s">
        <v>17</v>
      </c>
      <c r="D29" s="5">
        <v>0</v>
      </c>
      <c r="E29" s="8"/>
      <c r="F29" s="7"/>
      <c r="G29" s="5">
        <v>7500</v>
      </c>
      <c r="H29" s="8"/>
      <c r="I29" s="7"/>
      <c r="J29" s="5">
        <v>7500</v>
      </c>
      <c r="K29" s="8"/>
      <c r="L29" s="7"/>
      <c r="M29" s="5">
        <v>630</v>
      </c>
      <c r="N29" s="8"/>
      <c r="O29" s="7"/>
      <c r="P29" s="5">
        <v>0</v>
      </c>
      <c r="Q29" s="8"/>
      <c r="S29" s="5">
        <v>2458.5500000000002</v>
      </c>
      <c r="T29" s="8"/>
    </row>
    <row r="30" spans="1:22" x14ac:dyDescent="0.2">
      <c r="A30" t="s">
        <v>181</v>
      </c>
      <c r="D30" s="5">
        <v>0</v>
      </c>
      <c r="E30" s="8"/>
      <c r="F30" s="7"/>
      <c r="G30" s="5">
        <v>0</v>
      </c>
      <c r="H30" s="8"/>
      <c r="I30" s="7"/>
      <c r="J30" s="5">
        <v>0</v>
      </c>
      <c r="K30" s="8"/>
      <c r="L30" s="7"/>
      <c r="M30" s="5">
        <v>-3130</v>
      </c>
      <c r="N30" s="8"/>
      <c r="O30" s="7"/>
      <c r="Q30" s="8"/>
      <c r="S30" s="5"/>
      <c r="T30" s="8"/>
    </row>
    <row r="31" spans="1:22" ht="13.5" thickBot="1" x14ac:dyDescent="0.25">
      <c r="A31" t="s">
        <v>28</v>
      </c>
      <c r="D31" s="6">
        <v>1570</v>
      </c>
      <c r="E31" s="8"/>
      <c r="F31" s="7"/>
      <c r="G31" s="6">
        <v>0</v>
      </c>
      <c r="H31" s="8"/>
      <c r="I31" s="7"/>
      <c r="J31" s="6">
        <v>0</v>
      </c>
      <c r="K31" s="8"/>
      <c r="L31" s="7"/>
      <c r="M31" s="6">
        <v>0</v>
      </c>
      <c r="N31" s="8"/>
      <c r="O31" s="7"/>
      <c r="P31" s="6">
        <f>+Q26</f>
        <v>0</v>
      </c>
      <c r="Q31" s="8"/>
      <c r="S31" s="9">
        <v>0</v>
      </c>
      <c r="T31" s="8"/>
    </row>
    <row r="32" spans="1:22" ht="19.5" customHeight="1" x14ac:dyDescent="0.2">
      <c r="A32" s="3"/>
      <c r="D32" s="7"/>
      <c r="E32" s="8">
        <f>+D29+D31+D30</f>
        <v>1570</v>
      </c>
      <c r="F32" s="7"/>
      <c r="G32" s="7"/>
      <c r="H32" s="8">
        <f>+G29+G31+G30</f>
        <v>7500</v>
      </c>
      <c r="I32" s="7"/>
      <c r="J32" s="7"/>
      <c r="K32" s="8">
        <f>+J29+J31+J30</f>
        <v>7500</v>
      </c>
      <c r="L32" s="7"/>
      <c r="M32" s="7"/>
      <c r="N32" s="8">
        <f>+M29+M31+M30</f>
        <v>-2500</v>
      </c>
      <c r="O32" s="7"/>
      <c r="P32" s="7"/>
      <c r="Q32" s="8">
        <f>+P31+P29</f>
        <v>0</v>
      </c>
      <c r="S32" s="7"/>
      <c r="T32" s="8">
        <v>2458.5500000000002</v>
      </c>
    </row>
    <row r="33" spans="1:20" ht="19.5" customHeight="1" x14ac:dyDescent="0.2">
      <c r="A33" s="3"/>
      <c r="D33" s="7"/>
      <c r="E33" s="8"/>
      <c r="F33" s="7"/>
      <c r="G33" s="7"/>
      <c r="H33" s="8"/>
      <c r="I33" s="7"/>
      <c r="J33" s="7"/>
      <c r="K33" s="8"/>
      <c r="L33" s="7"/>
      <c r="M33" s="7"/>
      <c r="N33" s="8"/>
      <c r="O33" s="7"/>
      <c r="P33" s="7"/>
      <c r="Q33" s="8"/>
      <c r="S33" s="7"/>
      <c r="T33" s="8"/>
    </row>
    <row r="34" spans="1:20" ht="19.5" customHeight="1" x14ac:dyDescent="0.2">
      <c r="A34" s="3"/>
      <c r="F34" s="7"/>
      <c r="I34" s="7"/>
      <c r="L34" s="7"/>
      <c r="O34" s="7"/>
      <c r="P34" s="7"/>
      <c r="Q34" s="7"/>
    </row>
    <row r="35" spans="1:20" x14ac:dyDescent="0.2">
      <c r="A35" t="s">
        <v>43</v>
      </c>
    </row>
    <row r="36" spans="1:20" x14ac:dyDescent="0.2">
      <c r="A36" t="s">
        <v>47</v>
      </c>
    </row>
    <row r="37" spans="1:20" x14ac:dyDescent="0.2">
      <c r="A37" s="76"/>
      <c r="B37" s="70" t="s">
        <v>310</v>
      </c>
      <c r="C37" s="76"/>
      <c r="D37" s="76"/>
      <c r="E37" s="76"/>
      <c r="F37" s="76"/>
      <c r="G37" s="76"/>
      <c r="H37" s="76"/>
      <c r="I37" s="76"/>
      <c r="J37" s="76"/>
      <c r="K37" s="76"/>
      <c r="L37" s="76"/>
      <c r="M37" s="76"/>
      <c r="N37" s="76"/>
    </row>
    <row r="38" spans="1:20" x14ac:dyDescent="0.2">
      <c r="A38" s="76"/>
      <c r="B38" s="76"/>
      <c r="C38" s="76"/>
      <c r="D38" s="76"/>
      <c r="E38" s="76"/>
      <c r="F38" s="76"/>
      <c r="G38" s="76"/>
      <c r="H38" s="76"/>
      <c r="I38" s="76"/>
      <c r="J38" s="76"/>
      <c r="K38" s="76"/>
      <c r="L38" s="76"/>
      <c r="M38" s="76"/>
      <c r="N38" s="76"/>
    </row>
    <row r="39" spans="1:20" x14ac:dyDescent="0.2">
      <c r="A39" s="76"/>
      <c r="B39" s="70" t="s">
        <v>107</v>
      </c>
      <c r="C39" s="76"/>
      <c r="D39" s="76"/>
      <c r="E39" s="76"/>
      <c r="F39" s="76"/>
      <c r="G39" s="76"/>
      <c r="H39" s="76"/>
      <c r="I39" s="76"/>
      <c r="J39" s="76"/>
      <c r="K39" s="76"/>
      <c r="L39" s="76"/>
      <c r="M39" s="76"/>
      <c r="N39" s="76"/>
    </row>
    <row r="40" spans="1:20" x14ac:dyDescent="0.2">
      <c r="A40" s="76"/>
      <c r="B40" s="70" t="s">
        <v>309</v>
      </c>
      <c r="C40" s="76"/>
      <c r="D40" s="76"/>
      <c r="E40" s="76"/>
      <c r="F40" s="76"/>
      <c r="G40" s="76"/>
      <c r="H40" s="76"/>
      <c r="I40" s="76"/>
      <c r="J40" s="76"/>
      <c r="K40" s="76"/>
      <c r="L40" s="76"/>
      <c r="M40" s="77" t="s">
        <v>53</v>
      </c>
      <c r="N40" s="79">
        <f>+'kolommenbalans 2014'!K8+'kolommenbalans 2014'!K10+'kolommenbalans 2014'!K12</f>
        <v>52.45</v>
      </c>
    </row>
    <row r="41" spans="1:20" ht="15" x14ac:dyDescent="0.35">
      <c r="A41" s="76"/>
      <c r="B41" s="70" t="s">
        <v>256</v>
      </c>
      <c r="C41" s="76"/>
      <c r="D41" s="76"/>
      <c r="E41" s="76"/>
      <c r="F41" s="76"/>
      <c r="G41" s="76"/>
      <c r="H41" s="76"/>
      <c r="I41" s="76"/>
      <c r="J41" s="76"/>
      <c r="K41" s="76"/>
      <c r="L41" s="76"/>
      <c r="M41" s="77" t="s">
        <v>53</v>
      </c>
      <c r="N41" s="48">
        <v>59.9</v>
      </c>
    </row>
    <row r="42" spans="1:20" x14ac:dyDescent="0.2">
      <c r="A42" s="76"/>
      <c r="B42" s="76"/>
      <c r="C42" s="76"/>
      <c r="D42" s="76"/>
      <c r="E42" s="76"/>
      <c r="F42" s="76"/>
      <c r="G42" s="76"/>
      <c r="H42" s="76"/>
      <c r="I42" s="76"/>
      <c r="J42" s="76"/>
      <c r="K42" s="76"/>
      <c r="L42" s="76"/>
      <c r="M42" s="77" t="s">
        <v>53</v>
      </c>
      <c r="N42" s="79">
        <f>SUM(N40:N41)</f>
        <v>112.35</v>
      </c>
    </row>
    <row r="43" spans="1:20" x14ac:dyDescent="0.2">
      <c r="A43" s="76"/>
      <c r="B43" s="76"/>
      <c r="C43" s="76"/>
      <c r="D43" s="76"/>
      <c r="E43" s="76"/>
      <c r="F43" s="76"/>
      <c r="G43" s="76"/>
      <c r="H43" s="76"/>
      <c r="I43" s="76"/>
      <c r="J43" s="76"/>
      <c r="K43" s="76"/>
      <c r="L43" s="76"/>
      <c r="M43" s="76"/>
      <c r="N43" s="76"/>
      <c r="S43" s="5"/>
    </row>
    <row r="44" spans="1:20" x14ac:dyDescent="0.2">
      <c r="A44" s="70" t="s">
        <v>46</v>
      </c>
      <c r="B44" s="70"/>
      <c r="C44" s="70"/>
      <c r="D44" s="76"/>
      <c r="E44" s="76"/>
      <c r="F44" s="76"/>
      <c r="G44" s="76"/>
      <c r="H44" s="76"/>
      <c r="I44" s="76"/>
      <c r="J44" s="76"/>
      <c r="K44" s="76"/>
      <c r="L44" s="76"/>
      <c r="M44" s="76"/>
      <c r="N44" s="76"/>
      <c r="S44" s="5"/>
    </row>
    <row r="45" spans="1:20" x14ac:dyDescent="0.2">
      <c r="A45" s="70"/>
      <c r="B45" s="70" t="s">
        <v>311</v>
      </c>
      <c r="C45" s="70"/>
      <c r="D45" s="76"/>
      <c r="E45" s="76"/>
      <c r="F45" s="76"/>
      <c r="G45" s="76"/>
      <c r="H45" s="76"/>
      <c r="I45" s="76"/>
      <c r="J45" s="76"/>
      <c r="K45" s="76"/>
      <c r="L45" s="76"/>
      <c r="M45" s="76"/>
      <c r="N45" s="76"/>
      <c r="S45" s="5"/>
      <c r="T45" s="44"/>
    </row>
    <row r="46" spans="1:20" x14ac:dyDescent="0.2">
      <c r="A46" s="70"/>
      <c r="B46" s="70" t="s">
        <v>312</v>
      </c>
      <c r="C46" s="70"/>
      <c r="D46" s="76"/>
      <c r="E46" s="76"/>
      <c r="F46" s="76"/>
      <c r="G46" s="76"/>
      <c r="H46" s="76"/>
      <c r="I46" s="76"/>
      <c r="J46" s="76"/>
      <c r="K46" s="76"/>
      <c r="L46" s="76"/>
      <c r="M46" s="76"/>
      <c r="N46" s="76"/>
      <c r="S46" s="5"/>
      <c r="T46" s="44"/>
    </row>
    <row r="47" spans="1:20" x14ac:dyDescent="0.2">
      <c r="A47" s="70"/>
      <c r="B47" s="70" t="s">
        <v>317</v>
      </c>
      <c r="C47" s="70"/>
      <c r="D47" s="76"/>
      <c r="E47" s="76"/>
      <c r="F47" s="76"/>
      <c r="G47" s="76"/>
      <c r="H47" s="76"/>
      <c r="I47" s="76"/>
      <c r="J47" s="76"/>
      <c r="K47" s="76"/>
      <c r="L47" s="76"/>
      <c r="M47" s="76"/>
      <c r="N47" s="76"/>
      <c r="S47" s="5"/>
      <c r="T47" s="44"/>
    </row>
    <row r="48" spans="1:20" x14ac:dyDescent="0.2">
      <c r="A48" s="70"/>
      <c r="B48" s="70"/>
      <c r="C48" s="70" t="s">
        <v>313</v>
      </c>
      <c r="D48" s="76"/>
      <c r="E48" s="76"/>
      <c r="F48" s="76"/>
      <c r="G48" s="76"/>
      <c r="H48" s="76"/>
      <c r="I48" s="76"/>
      <c r="J48" s="76"/>
      <c r="K48" s="76"/>
      <c r="L48" s="76"/>
      <c r="M48" s="76"/>
      <c r="N48" s="76"/>
      <c r="S48" s="5"/>
      <c r="T48" s="44"/>
    </row>
    <row r="49" spans="1:22" x14ac:dyDescent="0.2">
      <c r="A49" s="70"/>
      <c r="B49" s="70"/>
      <c r="C49" s="70" t="s">
        <v>314</v>
      </c>
      <c r="D49" s="76"/>
      <c r="E49" s="76"/>
      <c r="F49" s="76"/>
      <c r="G49" s="76"/>
      <c r="H49" s="76"/>
      <c r="I49" s="76"/>
      <c r="J49" s="76"/>
      <c r="K49" s="76"/>
      <c r="L49" s="76"/>
      <c r="M49" s="76"/>
      <c r="N49" s="76"/>
      <c r="S49" s="5"/>
      <c r="T49" s="44"/>
    </row>
    <row r="50" spans="1:22" x14ac:dyDescent="0.2">
      <c r="A50" s="70"/>
      <c r="B50" s="70"/>
      <c r="C50" s="70" t="s">
        <v>315</v>
      </c>
      <c r="D50" s="76"/>
      <c r="E50" s="76"/>
      <c r="F50" s="76"/>
      <c r="G50" s="76"/>
      <c r="H50" s="76"/>
      <c r="I50" s="76"/>
      <c r="J50" s="76"/>
      <c r="K50" s="76"/>
      <c r="L50" s="76"/>
      <c r="M50" s="76"/>
      <c r="N50" s="76"/>
      <c r="S50" s="5"/>
      <c r="T50" s="44"/>
    </row>
    <row r="51" spans="1:22" x14ac:dyDescent="0.2">
      <c r="A51" s="70"/>
      <c r="B51" s="70"/>
      <c r="C51" s="70" t="s">
        <v>316</v>
      </c>
      <c r="D51" s="76"/>
      <c r="E51" s="76"/>
      <c r="F51" s="76"/>
      <c r="G51" s="76"/>
      <c r="H51" s="76"/>
      <c r="I51" s="76"/>
      <c r="J51" s="76"/>
      <c r="K51" s="76"/>
      <c r="L51" s="76"/>
      <c r="M51" s="76"/>
      <c r="N51" s="76"/>
      <c r="S51" s="5"/>
      <c r="T51" s="44"/>
    </row>
    <row r="52" spans="1:22" x14ac:dyDescent="0.2">
      <c r="A52" s="70"/>
      <c r="B52" s="70" t="s">
        <v>318</v>
      </c>
      <c r="C52" s="70"/>
      <c r="D52" s="76"/>
      <c r="E52" s="76"/>
      <c r="F52" s="76"/>
      <c r="G52" s="76"/>
      <c r="H52" s="76"/>
      <c r="I52" s="76"/>
      <c r="J52" s="76"/>
      <c r="K52" s="76"/>
      <c r="L52" s="76"/>
      <c r="M52" s="76"/>
      <c r="N52" s="76"/>
      <c r="S52" s="23"/>
      <c r="T52" s="44"/>
    </row>
    <row r="53" spans="1:22" s="5" customFormat="1" x14ac:dyDescent="0.2">
      <c r="A53" s="70"/>
      <c r="B53" s="70" t="s">
        <v>319</v>
      </c>
      <c r="C53" s="70"/>
      <c r="D53" s="76"/>
      <c r="E53" s="76"/>
      <c r="F53" s="76"/>
      <c r="G53" s="76"/>
      <c r="H53" s="76"/>
      <c r="I53" s="76"/>
      <c r="J53" s="76"/>
      <c r="K53" s="76"/>
      <c r="L53" s="76"/>
      <c r="M53" s="76"/>
      <c r="N53" s="76"/>
      <c r="O53"/>
      <c r="Q53"/>
      <c r="R53"/>
      <c r="S53" s="23"/>
      <c r="T53" s="44"/>
      <c r="U53"/>
      <c r="V53"/>
    </row>
    <row r="54" spans="1:22" s="5" customFormat="1" x14ac:dyDescent="0.2">
      <c r="A54" s="76"/>
      <c r="B54" s="76"/>
      <c r="C54" s="76"/>
      <c r="D54" s="76"/>
      <c r="E54" s="76"/>
      <c r="F54" s="76"/>
      <c r="G54" s="76"/>
      <c r="H54" s="76"/>
      <c r="I54" s="76"/>
      <c r="J54" s="76"/>
      <c r="K54" s="76"/>
      <c r="L54" s="76"/>
      <c r="M54" s="76"/>
      <c r="N54" s="76"/>
      <c r="O54"/>
      <c r="Q54"/>
      <c r="R54"/>
      <c r="T54" s="44"/>
      <c r="U54"/>
      <c r="V54"/>
    </row>
    <row r="55" spans="1:22" s="5" customFormat="1" x14ac:dyDescent="0.2">
      <c r="A55" s="70" t="s">
        <v>173</v>
      </c>
      <c r="B55" s="70"/>
      <c r="C55" s="70"/>
      <c r="D55" s="70"/>
      <c r="E55" s="70"/>
      <c r="F55" s="70"/>
      <c r="G55" s="70"/>
      <c r="H55" s="70"/>
      <c r="I55" s="70"/>
      <c r="J55" s="70"/>
      <c r="K55" s="70"/>
      <c r="L55" s="70"/>
      <c r="M55" s="70"/>
      <c r="N55" s="70"/>
      <c r="O55"/>
      <c r="Q55"/>
      <c r="R55"/>
      <c r="T55" s="44"/>
      <c r="U55"/>
      <c r="V55"/>
    </row>
    <row r="56" spans="1:22" s="5" customFormat="1" x14ac:dyDescent="0.2">
      <c r="A56" s="70"/>
      <c r="B56" s="70" t="s">
        <v>71</v>
      </c>
      <c r="C56" s="70"/>
      <c r="D56" s="70"/>
      <c r="E56" s="70"/>
      <c r="F56" s="70"/>
      <c r="G56" s="70"/>
      <c r="H56" s="70"/>
      <c r="I56" s="70"/>
      <c r="J56" s="70"/>
      <c r="K56" s="70"/>
      <c r="L56" s="70"/>
      <c r="M56" s="80" t="s">
        <v>53</v>
      </c>
      <c r="N56" s="72">
        <f>+N40</f>
        <v>52.45</v>
      </c>
      <c r="O56"/>
      <c r="Q56"/>
      <c r="R56"/>
      <c r="U56"/>
      <c r="V56"/>
    </row>
    <row r="57" spans="1:22" s="5" customFormat="1" x14ac:dyDescent="0.2">
      <c r="A57" s="70"/>
      <c r="B57" s="70" t="str">
        <f>+B41</f>
        <v>Bijdragen St. Transparante Anbi.nl</v>
      </c>
      <c r="C57" s="70"/>
      <c r="D57" s="70"/>
      <c r="E57" s="70"/>
      <c r="F57" s="70"/>
      <c r="G57" s="70"/>
      <c r="H57" s="70"/>
      <c r="I57" s="70"/>
      <c r="J57" s="70"/>
      <c r="K57" s="70"/>
      <c r="L57" s="70"/>
      <c r="M57" s="80" t="s">
        <v>53</v>
      </c>
      <c r="N57" s="46">
        <f>+N41</f>
        <v>59.9</v>
      </c>
      <c r="O57"/>
      <c r="Q57"/>
      <c r="R57"/>
      <c r="U57"/>
      <c r="V57"/>
    </row>
    <row r="58" spans="1:22" s="5" customFormat="1" x14ac:dyDescent="0.2">
      <c r="A58" s="70"/>
      <c r="B58" s="70"/>
      <c r="C58" s="70"/>
      <c r="D58" s="70"/>
      <c r="E58" s="70"/>
      <c r="F58" s="70"/>
      <c r="G58" s="70"/>
      <c r="H58" s="70"/>
      <c r="I58" s="70"/>
      <c r="J58" s="70"/>
      <c r="K58" s="70"/>
      <c r="L58" s="70"/>
      <c r="M58" s="80" t="s">
        <v>53</v>
      </c>
      <c r="N58" s="72">
        <f>+N57+N56</f>
        <v>112.35</v>
      </c>
      <c r="O58"/>
      <c r="Q58"/>
      <c r="R58"/>
      <c r="U58"/>
      <c r="V58"/>
    </row>
    <row r="59" spans="1:22" s="5" customFormat="1" x14ac:dyDescent="0.2">
      <c r="A59" s="76"/>
      <c r="B59" s="70" t="s">
        <v>321</v>
      </c>
      <c r="C59" s="76"/>
      <c r="D59" s="76"/>
      <c r="E59" s="76"/>
      <c r="F59" s="76"/>
      <c r="G59" s="76"/>
      <c r="H59" s="76"/>
      <c r="I59" s="76"/>
      <c r="J59" s="76"/>
      <c r="K59" s="76"/>
      <c r="L59" s="76"/>
      <c r="M59" s="76"/>
      <c r="N59" s="76"/>
      <c r="O59"/>
      <c r="Q59"/>
      <c r="R59"/>
      <c r="S59" s="23"/>
      <c r="T59" s="44"/>
      <c r="U59"/>
      <c r="V59"/>
    </row>
    <row r="60" spans="1:22" s="5" customFormat="1" x14ac:dyDescent="0.2">
      <c r="A60" s="70"/>
      <c r="B60"/>
      <c r="C60"/>
      <c r="D60"/>
      <c r="E60"/>
      <c r="F60"/>
      <c r="G60"/>
      <c r="H60"/>
      <c r="I60"/>
      <c r="J60"/>
      <c r="K60"/>
      <c r="L60"/>
      <c r="M60"/>
      <c r="N60"/>
      <c r="O60"/>
      <c r="Q60"/>
      <c r="R60"/>
      <c r="S60" s="23"/>
      <c r="T60" s="44"/>
      <c r="U60"/>
      <c r="V60"/>
    </row>
    <row r="61" spans="1:22" s="5" customFormat="1" x14ac:dyDescent="0.2">
      <c r="A61"/>
      <c r="B61" s="70"/>
      <c r="C61" s="24"/>
      <c r="D61"/>
      <c r="E61"/>
      <c r="F61"/>
      <c r="G61"/>
      <c r="H61"/>
      <c r="I61"/>
      <c r="J61"/>
      <c r="K61"/>
      <c r="L61"/>
      <c r="M61" s="23"/>
      <c r="N61" s="72"/>
      <c r="O61"/>
      <c r="Q61"/>
      <c r="R61"/>
      <c r="S61" s="23"/>
      <c r="T61" s="44"/>
      <c r="U61"/>
      <c r="V61"/>
    </row>
    <row r="62" spans="1:22" s="5" customFormat="1" x14ac:dyDescent="0.2">
      <c r="A62"/>
      <c r="B62"/>
      <c r="C62" s="24"/>
      <c r="D62"/>
      <c r="E62"/>
      <c r="F62"/>
      <c r="G62"/>
      <c r="H62"/>
      <c r="I62"/>
      <c r="J62"/>
      <c r="K62"/>
      <c r="L62"/>
      <c r="M62"/>
      <c r="N62"/>
      <c r="O62"/>
      <c r="Q62"/>
      <c r="R62"/>
      <c r="S62" s="23"/>
      <c r="T62" s="44"/>
      <c r="U62"/>
      <c r="V62"/>
    </row>
    <row r="63" spans="1:22" x14ac:dyDescent="0.2">
      <c r="C63" s="24"/>
    </row>
    <row r="64" spans="1:22" x14ac:dyDescent="0.2">
      <c r="C64" s="24"/>
    </row>
    <row r="73" spans="1:1" x14ac:dyDescent="0.2">
      <c r="A73" s="21"/>
    </row>
  </sheetData>
  <mergeCells count="12">
    <mergeCell ref="P3:Q3"/>
    <mergeCell ref="S3:T3"/>
    <mergeCell ref="G4:H4"/>
    <mergeCell ref="J4:K4"/>
    <mergeCell ref="M4:N4"/>
    <mergeCell ref="P4:Q4"/>
    <mergeCell ref="S4:T4"/>
    <mergeCell ref="D3:E3"/>
    <mergeCell ref="D4:E4"/>
    <mergeCell ref="G3:H3"/>
    <mergeCell ref="J3:K3"/>
    <mergeCell ref="M3:N3"/>
  </mergeCells>
  <pageMargins left="0.74803149606299213" right="0.74803149606299213" top="0.98425196850393704" bottom="0.78740157480314965" header="0.51181102362204722" footer="0.51181102362204722"/>
  <pageSetup paperSize="9" scale="61" orientation="portrait"/>
  <headerFooter alignWithMargins="0">
    <oddFooter>&amp;L&amp;F, &amp;A&amp;R&amp;D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9"/>
  <sheetViews>
    <sheetView topLeftCell="A7" workbookViewId="0">
      <selection activeCell="F28" sqref="F28"/>
    </sheetView>
  </sheetViews>
  <sheetFormatPr defaultColWidth="8.85546875" defaultRowHeight="12.75" x14ac:dyDescent="0.2"/>
  <cols>
    <col min="1" max="1" width="16.85546875" customWidth="1"/>
    <col min="2" max="2" width="10.28515625" bestFit="1" customWidth="1"/>
    <col min="3" max="4" width="10.28515625" customWidth="1"/>
    <col min="5" max="5" width="9.28515625" bestFit="1" customWidth="1"/>
    <col min="6" max="7" width="10.28515625" bestFit="1" customWidth="1"/>
    <col min="8" max="8" width="10.28515625" customWidth="1"/>
    <col min="9" max="9" width="9.28515625" bestFit="1" customWidth="1"/>
    <col min="10" max="10" width="6.7109375" bestFit="1" customWidth="1"/>
    <col min="11" max="11" width="7.7109375" bestFit="1" customWidth="1"/>
    <col min="12" max="12" width="9.28515625" bestFit="1" customWidth="1"/>
    <col min="13" max="13" width="10.28515625" bestFit="1" customWidth="1"/>
    <col min="14" max="14" width="9.28515625" bestFit="1" customWidth="1"/>
  </cols>
  <sheetData>
    <row r="1" spans="1:14" ht="15.75" x14ac:dyDescent="0.25">
      <c r="A1" s="42" t="s">
        <v>288</v>
      </c>
    </row>
    <row r="2" spans="1:14" ht="12" customHeight="1" x14ac:dyDescent="0.2"/>
    <row r="3" spans="1:14" s="12" customFormat="1" ht="127.5" x14ac:dyDescent="0.2">
      <c r="B3" s="69" t="s">
        <v>185</v>
      </c>
      <c r="C3" s="69" t="s">
        <v>291</v>
      </c>
      <c r="D3" s="69" t="s">
        <v>292</v>
      </c>
      <c r="E3" s="69" t="s">
        <v>184</v>
      </c>
      <c r="F3" s="69" t="s">
        <v>186</v>
      </c>
      <c r="G3" s="69" t="s">
        <v>202</v>
      </c>
      <c r="H3" s="69" t="s">
        <v>187</v>
      </c>
      <c r="I3" s="69" t="s">
        <v>301</v>
      </c>
      <c r="J3" s="69" t="s">
        <v>302</v>
      </c>
      <c r="K3" s="69" t="s">
        <v>190</v>
      </c>
      <c r="L3" s="69" t="s">
        <v>306</v>
      </c>
    </row>
    <row r="5" spans="1:14" s="20" customFormat="1" x14ac:dyDescent="0.2">
      <c r="A5" s="20" t="s">
        <v>191</v>
      </c>
      <c r="B5" s="39">
        <f>+'kolommenbalans 2013'!B26</f>
        <v>18624.18</v>
      </c>
      <c r="C5" s="39">
        <v>0</v>
      </c>
      <c r="D5" s="39">
        <v>0</v>
      </c>
      <c r="E5" s="39">
        <f>+'kolommenbalans 2013'!C26</f>
        <v>99.669999999999987</v>
      </c>
      <c r="F5" s="39">
        <f>+'kolommenbalans 2013'!D26</f>
        <v>-11223.85</v>
      </c>
      <c r="G5" s="39">
        <f>+'kolommenbalans 2013'!E26</f>
        <v>-7500</v>
      </c>
      <c r="H5" s="39">
        <f>+'kolommenbalans 2013'!F26</f>
        <v>0</v>
      </c>
      <c r="I5" s="39">
        <f>+'kolommenbalans 2013'!G26</f>
        <v>0</v>
      </c>
      <c r="J5" s="39"/>
      <c r="K5" s="39"/>
      <c r="L5" s="39"/>
      <c r="M5" s="39">
        <f t="shared" ref="M5:M15" si="0">SUM(B5:K5)</f>
        <v>-1.8189894035458565E-12</v>
      </c>
      <c r="N5" s="39">
        <f>SUM(J5:K5)</f>
        <v>0</v>
      </c>
    </row>
    <row r="6" spans="1:14" x14ac:dyDescent="0.2">
      <c r="A6" s="70" t="s">
        <v>254</v>
      </c>
      <c r="B6" s="32">
        <f>-E6</f>
        <v>99.67</v>
      </c>
      <c r="C6" s="32"/>
      <c r="D6" s="32"/>
      <c r="E6" s="32">
        <v>-99.67</v>
      </c>
      <c r="F6" s="32"/>
      <c r="G6" s="32"/>
      <c r="H6" s="32"/>
      <c r="I6" s="32"/>
      <c r="J6" s="32"/>
      <c r="K6" s="32"/>
      <c r="L6" s="32"/>
      <c r="M6" s="39">
        <f t="shared" si="0"/>
        <v>0</v>
      </c>
      <c r="N6" s="32"/>
    </row>
    <row r="7" spans="1:14" x14ac:dyDescent="0.2">
      <c r="A7" s="70" t="s">
        <v>293</v>
      </c>
      <c r="B7" s="32">
        <f>-C7</f>
        <v>-18723.849999999999</v>
      </c>
      <c r="C7" s="32">
        <v>18723.849999999999</v>
      </c>
      <c r="D7" s="32"/>
      <c r="E7" s="32"/>
      <c r="F7" s="32"/>
      <c r="G7" s="32"/>
      <c r="H7" s="32"/>
      <c r="I7" s="32"/>
      <c r="J7" s="32"/>
      <c r="K7" s="32"/>
      <c r="L7" s="32"/>
      <c r="M7" s="39">
        <f t="shared" si="0"/>
        <v>0</v>
      </c>
      <c r="N7" s="32"/>
    </row>
    <row r="8" spans="1:14" x14ac:dyDescent="0.2">
      <c r="A8" s="70" t="s">
        <v>294</v>
      </c>
      <c r="B8" s="32"/>
      <c r="C8" s="32">
        <f t="shared" ref="C8:C14" si="1">-D8-SUM(E8:K8)</f>
        <v>-8.15</v>
      </c>
      <c r="D8" s="32"/>
      <c r="E8" s="32"/>
      <c r="F8" s="32"/>
      <c r="G8" s="32"/>
      <c r="H8" s="32"/>
      <c r="I8" s="32"/>
      <c r="J8" s="32"/>
      <c r="K8" s="32">
        <v>8.15</v>
      </c>
      <c r="L8" s="32"/>
      <c r="M8" s="39">
        <f t="shared" si="0"/>
        <v>0</v>
      </c>
      <c r="N8" s="32"/>
    </row>
    <row r="9" spans="1:14" x14ac:dyDescent="0.2">
      <c r="A9" s="70" t="s">
        <v>295</v>
      </c>
      <c r="B9" s="32"/>
      <c r="C9" s="32">
        <f t="shared" si="1"/>
        <v>-18000</v>
      </c>
      <c r="D9" s="32">
        <v>18000</v>
      </c>
      <c r="E9" s="32"/>
      <c r="F9" s="32"/>
      <c r="G9" s="32"/>
      <c r="H9" s="32"/>
      <c r="I9" s="32"/>
      <c r="J9" s="32"/>
      <c r="M9" s="39">
        <f t="shared" si="0"/>
        <v>0</v>
      </c>
      <c r="N9" s="32"/>
    </row>
    <row r="10" spans="1:14" x14ac:dyDescent="0.2">
      <c r="A10" s="70" t="s">
        <v>296</v>
      </c>
      <c r="B10" s="32"/>
      <c r="C10" s="32">
        <f t="shared" si="1"/>
        <v>-20.25</v>
      </c>
      <c r="D10" s="32"/>
      <c r="E10" s="32"/>
      <c r="F10" s="32"/>
      <c r="G10" s="32"/>
      <c r="H10" s="32"/>
      <c r="I10" s="32"/>
      <c r="J10" s="32"/>
      <c r="K10" s="32">
        <v>20.25</v>
      </c>
      <c r="L10" s="32"/>
      <c r="M10" s="39">
        <f t="shared" si="0"/>
        <v>0</v>
      </c>
      <c r="N10" s="32"/>
    </row>
    <row r="11" spans="1:14" x14ac:dyDescent="0.2">
      <c r="A11" s="70"/>
      <c r="B11" s="32"/>
      <c r="C11" s="32">
        <f t="shared" si="1"/>
        <v>-300</v>
      </c>
      <c r="D11" s="32">
        <v>-4700</v>
      </c>
      <c r="E11" s="32"/>
      <c r="F11" s="32"/>
      <c r="G11" s="32">
        <v>5000</v>
      </c>
      <c r="H11" s="32"/>
      <c r="I11" s="32"/>
      <c r="J11" s="32"/>
      <c r="K11" s="32"/>
      <c r="L11" s="32"/>
      <c r="M11" s="39">
        <f t="shared" si="0"/>
        <v>0</v>
      </c>
      <c r="N11" s="32"/>
    </row>
    <row r="12" spans="1:14" x14ac:dyDescent="0.2">
      <c r="A12" s="70" t="s">
        <v>297</v>
      </c>
      <c r="B12" s="32"/>
      <c r="C12" s="32">
        <f t="shared" si="1"/>
        <v>1475.95</v>
      </c>
      <c r="D12" s="32">
        <v>-2500</v>
      </c>
      <c r="E12" s="32"/>
      <c r="F12" s="32"/>
      <c r="G12" s="32">
        <v>1000</v>
      </c>
      <c r="H12" s="32"/>
      <c r="I12" s="32"/>
      <c r="J12" s="32"/>
      <c r="K12" s="32">
        <v>24.05</v>
      </c>
      <c r="L12" s="32"/>
      <c r="M12" s="39">
        <f t="shared" si="0"/>
        <v>4.6185277824406512E-14</v>
      </c>
      <c r="N12" s="32"/>
    </row>
    <row r="13" spans="1:14" x14ac:dyDescent="0.2">
      <c r="A13" s="70" t="s">
        <v>298</v>
      </c>
      <c r="B13" s="32"/>
      <c r="C13" s="32">
        <f t="shared" si="1"/>
        <v>-1059.9000000000001</v>
      </c>
      <c r="D13" s="32"/>
      <c r="E13" s="32"/>
      <c r="F13" s="32"/>
      <c r="G13" s="32">
        <v>1000</v>
      </c>
      <c r="H13" s="32"/>
      <c r="I13" s="32"/>
      <c r="J13" s="32"/>
      <c r="K13" s="32">
        <v>59.9</v>
      </c>
      <c r="L13" s="32"/>
      <c r="M13" s="39">
        <f t="shared" si="0"/>
        <v>-9.2370555648813024E-14</v>
      </c>
      <c r="N13" s="32"/>
    </row>
    <row r="14" spans="1:14" x14ac:dyDescent="0.2">
      <c r="A14" s="70" t="s">
        <v>299</v>
      </c>
      <c r="B14" s="32"/>
      <c r="C14" s="32">
        <f t="shared" si="1"/>
        <v>7000</v>
      </c>
      <c r="D14" s="32"/>
      <c r="E14" s="32"/>
      <c r="F14" s="32"/>
      <c r="G14" s="32">
        <v>500</v>
      </c>
      <c r="H14" s="32"/>
      <c r="I14" s="32">
        <v>-7500</v>
      </c>
      <c r="J14" s="32"/>
      <c r="K14" s="32"/>
      <c r="L14" s="32"/>
      <c r="M14" s="39">
        <f t="shared" si="0"/>
        <v>0</v>
      </c>
      <c r="N14" s="32"/>
    </row>
    <row r="15" spans="1:14" x14ac:dyDescent="0.2">
      <c r="A15" s="70" t="s">
        <v>300</v>
      </c>
      <c r="B15" s="32"/>
      <c r="C15" s="32"/>
      <c r="D15" s="32">
        <f>-J15</f>
        <v>70.41</v>
      </c>
      <c r="E15" s="32"/>
      <c r="F15" s="32"/>
      <c r="G15" s="32"/>
      <c r="H15" s="32"/>
      <c r="I15" s="32"/>
      <c r="J15" s="32">
        <v>-70.41</v>
      </c>
      <c r="K15" s="32"/>
      <c r="L15" s="32"/>
      <c r="M15" s="39">
        <f t="shared" si="0"/>
        <v>0</v>
      </c>
      <c r="N15" s="32"/>
    </row>
    <row r="16" spans="1:14" x14ac:dyDescent="0.2">
      <c r="B16" s="32"/>
      <c r="C16" s="32"/>
      <c r="D16" s="32"/>
      <c r="E16" s="32"/>
      <c r="F16" s="32"/>
      <c r="G16" s="32"/>
      <c r="H16" s="32"/>
      <c r="I16" s="32"/>
      <c r="J16" s="32"/>
      <c r="K16" s="32"/>
      <c r="L16" s="32"/>
      <c r="M16" s="32"/>
      <c r="N16" s="32"/>
    </row>
    <row r="17" spans="1:14" s="20" customFormat="1" x14ac:dyDescent="0.2">
      <c r="A17" s="20" t="s">
        <v>203</v>
      </c>
      <c r="B17" s="39">
        <f t="shared" ref="B17:K17" si="2">SUM(B5:B16)</f>
        <v>0</v>
      </c>
      <c r="C17" s="39">
        <f t="shared" si="2"/>
        <v>7811.4999999999973</v>
      </c>
      <c r="D17" s="39">
        <f t="shared" si="2"/>
        <v>10870.41</v>
      </c>
      <c r="E17" s="39">
        <f t="shared" si="2"/>
        <v>0</v>
      </c>
      <c r="F17" s="39">
        <f t="shared" si="2"/>
        <v>-11223.85</v>
      </c>
      <c r="G17" s="39">
        <f t="shared" si="2"/>
        <v>0</v>
      </c>
      <c r="H17" s="39">
        <f t="shared" si="2"/>
        <v>0</v>
      </c>
      <c r="I17" s="39">
        <f t="shared" si="2"/>
        <v>-7500</v>
      </c>
      <c r="J17" s="39">
        <f t="shared" si="2"/>
        <v>-70.41</v>
      </c>
      <c r="K17" s="39">
        <f t="shared" si="2"/>
        <v>112.35</v>
      </c>
      <c r="L17" s="39"/>
      <c r="M17" s="39">
        <f>SUM(B17:K17)</f>
        <v>-4.1495695768389851E-12</v>
      </c>
      <c r="N17" s="39"/>
    </row>
    <row r="18" spans="1:14" s="20" customFormat="1" x14ac:dyDescent="0.2">
      <c r="B18" s="39"/>
      <c r="C18" s="39"/>
      <c r="D18" s="39"/>
      <c r="E18" s="39"/>
      <c r="F18" s="39"/>
      <c r="G18" s="39"/>
      <c r="H18" s="39"/>
      <c r="I18" s="39"/>
      <c r="J18" s="39"/>
      <c r="K18" s="39"/>
      <c r="L18" s="39"/>
      <c r="M18" s="39"/>
      <c r="N18" s="39"/>
    </row>
    <row r="19" spans="1:14" x14ac:dyDescent="0.2">
      <c r="A19" s="20" t="s">
        <v>199</v>
      </c>
      <c r="B19" s="32"/>
      <c r="C19" s="32"/>
      <c r="D19" s="32"/>
      <c r="E19" s="32"/>
      <c r="F19" s="32"/>
      <c r="G19" s="32"/>
      <c r="H19" s="32"/>
      <c r="I19" s="32"/>
      <c r="J19" s="32"/>
      <c r="K19" s="32"/>
      <c r="L19" s="32"/>
      <c r="M19" s="32"/>
      <c r="N19" s="32"/>
    </row>
    <row r="20" spans="1:14" x14ac:dyDescent="0.2">
      <c r="A20" s="70" t="s">
        <v>219</v>
      </c>
      <c r="B20" s="32"/>
      <c r="C20" s="32"/>
      <c r="D20" s="32"/>
      <c r="E20" s="32">
        <f>+K17</f>
        <v>112.35</v>
      </c>
      <c r="F20" s="32"/>
      <c r="G20" s="32"/>
      <c r="H20" s="32"/>
      <c r="I20" s="32"/>
      <c r="J20" s="32"/>
      <c r="K20" s="32">
        <f>-K17</f>
        <v>-112.35</v>
      </c>
      <c r="L20" s="32"/>
      <c r="M20" s="32">
        <f>SUM(B20:K20)</f>
        <v>0</v>
      </c>
      <c r="N20" s="32"/>
    </row>
    <row r="21" spans="1:14" x14ac:dyDescent="0.2">
      <c r="A21" s="70" t="s">
        <v>303</v>
      </c>
      <c r="B21" s="32"/>
      <c r="C21" s="32"/>
      <c r="D21" s="32"/>
      <c r="E21" s="32"/>
      <c r="F21" s="32"/>
      <c r="G21" s="32">
        <f>-2500-3500</f>
        <v>-6000</v>
      </c>
      <c r="I21" s="32"/>
      <c r="J21" s="32"/>
      <c r="K21" s="32"/>
      <c r="L21" s="32">
        <v>6000</v>
      </c>
      <c r="M21" s="32">
        <f>SUM(B21:L21)</f>
        <v>0</v>
      </c>
      <c r="N21" s="32"/>
    </row>
    <row r="22" spans="1:14" x14ac:dyDescent="0.2">
      <c r="A22" s="70" t="s">
        <v>281</v>
      </c>
      <c r="B22" s="32"/>
      <c r="C22" s="32"/>
      <c r="D22" s="32"/>
      <c r="E22" s="32"/>
      <c r="F22" s="32"/>
      <c r="G22" s="32"/>
      <c r="H22" s="32"/>
      <c r="I22" s="32"/>
      <c r="J22" s="32"/>
      <c r="K22" s="32"/>
      <c r="L22" s="32"/>
      <c r="M22" s="32">
        <f>SUM(B22:K22)</f>
        <v>0</v>
      </c>
      <c r="N22" s="32"/>
    </row>
    <row r="23" spans="1:14" x14ac:dyDescent="0.2">
      <c r="A23" s="70"/>
      <c r="B23" s="32"/>
      <c r="C23" s="32"/>
      <c r="D23" s="32"/>
      <c r="E23" s="32"/>
      <c r="F23" s="32"/>
      <c r="G23" s="32"/>
      <c r="H23" s="32"/>
      <c r="I23" s="32"/>
      <c r="J23" s="32"/>
      <c r="K23" s="32"/>
      <c r="L23" s="32"/>
      <c r="M23" s="32"/>
      <c r="N23" s="32"/>
    </row>
    <row r="24" spans="1:14" x14ac:dyDescent="0.2">
      <c r="B24" s="32"/>
      <c r="C24" s="32"/>
      <c r="D24" s="32"/>
      <c r="E24" s="32"/>
      <c r="F24" s="32"/>
      <c r="G24" s="32"/>
      <c r="H24" s="32"/>
      <c r="I24" s="32"/>
      <c r="J24" s="32"/>
      <c r="K24" s="32"/>
      <c r="L24" s="32"/>
      <c r="M24" s="32"/>
      <c r="N24" s="32"/>
    </row>
    <row r="25" spans="1:14" s="20" customFormat="1" x14ac:dyDescent="0.2">
      <c r="A25" s="20" t="s">
        <v>194</v>
      </c>
      <c r="B25" s="39">
        <f>+SUM(B17:B24)</f>
        <v>0</v>
      </c>
      <c r="C25" s="39">
        <f t="shared" ref="C25:J25" si="3">+SUM(C17:C24)</f>
        <v>7811.4999999999973</v>
      </c>
      <c r="D25" s="39">
        <f t="shared" si="3"/>
        <v>10870.41</v>
      </c>
      <c r="E25" s="39">
        <f t="shared" si="3"/>
        <v>112.35</v>
      </c>
      <c r="F25" s="39">
        <f t="shared" si="3"/>
        <v>-11223.85</v>
      </c>
      <c r="G25" s="39">
        <f t="shared" si="3"/>
        <v>-6000</v>
      </c>
      <c r="I25" s="39">
        <f t="shared" si="3"/>
        <v>-7500</v>
      </c>
      <c r="J25" s="39">
        <f t="shared" si="3"/>
        <v>-70.41</v>
      </c>
      <c r="K25" s="39">
        <f>+SUM(K17:K24)</f>
        <v>0</v>
      </c>
      <c r="L25" s="39">
        <f>+SUM(L17:L24)</f>
        <v>6000</v>
      </c>
      <c r="M25" s="39">
        <f>SUM(B25:L25)</f>
        <v>0</v>
      </c>
      <c r="N25" s="39"/>
    </row>
    <row r="26" spans="1:14" x14ac:dyDescent="0.2">
      <c r="B26" s="32"/>
      <c r="C26" s="32"/>
      <c r="D26" s="32"/>
      <c r="E26" s="32"/>
      <c r="F26" s="32"/>
      <c r="G26" s="32"/>
      <c r="H26" s="32"/>
      <c r="I26" s="32"/>
      <c r="J26" s="32"/>
      <c r="K26" s="32"/>
      <c r="L26" s="32"/>
      <c r="M26" s="32"/>
      <c r="N26" s="32"/>
    </row>
    <row r="27" spans="1:14" s="20" customFormat="1" x14ac:dyDescent="0.2">
      <c r="A27" s="20" t="s">
        <v>289</v>
      </c>
      <c r="B27" s="39"/>
      <c r="C27" s="39"/>
      <c r="D27" s="39"/>
      <c r="F27" s="39">
        <f>+I25+J25+L25</f>
        <v>-1570.4099999999999</v>
      </c>
      <c r="G27" s="39"/>
      <c r="I27" s="39"/>
      <c r="J27" s="39"/>
      <c r="K27" s="39"/>
      <c r="L27" s="39"/>
      <c r="M27" s="39"/>
      <c r="N27" s="39"/>
    </row>
    <row r="28" spans="1:14" x14ac:dyDescent="0.2">
      <c r="B28" s="32"/>
      <c r="C28" s="32"/>
      <c r="D28" s="32"/>
      <c r="E28" s="32"/>
      <c r="F28" s="32"/>
      <c r="G28" s="32"/>
      <c r="H28" s="32"/>
      <c r="I28" s="32"/>
      <c r="J28" s="32"/>
      <c r="K28" s="32"/>
      <c r="L28" s="32"/>
      <c r="M28" s="32"/>
      <c r="N28" s="32"/>
    </row>
    <row r="29" spans="1:14" s="20" customFormat="1" x14ac:dyDescent="0.2">
      <c r="A29" s="20" t="s">
        <v>240</v>
      </c>
      <c r="B29" s="39">
        <f t="shared" ref="B29:L29" si="4">+B25+B27</f>
        <v>0</v>
      </c>
      <c r="C29" s="39">
        <f t="shared" si="4"/>
        <v>7811.4999999999973</v>
      </c>
      <c r="D29" s="39">
        <f t="shared" si="4"/>
        <v>10870.41</v>
      </c>
      <c r="E29" s="39">
        <f t="shared" si="4"/>
        <v>112.35</v>
      </c>
      <c r="F29" s="39">
        <f>+F25+F27</f>
        <v>-12794.26</v>
      </c>
      <c r="G29" s="39">
        <f t="shared" si="4"/>
        <v>-6000</v>
      </c>
      <c r="H29" s="39"/>
      <c r="I29" s="39">
        <f t="shared" si="4"/>
        <v>-7500</v>
      </c>
      <c r="J29" s="39">
        <f t="shared" si="4"/>
        <v>-70.41</v>
      </c>
      <c r="K29" s="39">
        <f t="shared" si="4"/>
        <v>0</v>
      </c>
      <c r="L29" s="39">
        <f t="shared" si="4"/>
        <v>6000</v>
      </c>
      <c r="M29" s="39">
        <f>SUM(B29:L29)</f>
        <v>-1570.4100000000053</v>
      </c>
      <c r="N29" s="39"/>
    </row>
  </sheetData>
  <pageMargins left="0.74803149606299213" right="0.74803149606299213" top="0.98425196850393704" bottom="0.98425196850393704" header="0.51181102362204722" footer="0.51181102362204722"/>
  <pageSetup paperSize="274" scale="98" orientation="landscape"/>
  <headerFooter alignWithMargins="0">
    <oddFooter>&amp;L&amp;F, &amp;A&amp;R&amp;D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8"/>
  <sheetViews>
    <sheetView zoomScaleNormal="100" workbookViewId="0">
      <selection activeCell="A19" sqref="A19:C21"/>
    </sheetView>
  </sheetViews>
  <sheetFormatPr defaultColWidth="8.85546875" defaultRowHeight="12.75" x14ac:dyDescent="0.2"/>
  <cols>
    <col min="1" max="1" width="9.28515625" bestFit="1" customWidth="1"/>
    <col min="2" max="2" width="27.42578125" bestFit="1" customWidth="1"/>
    <col min="3" max="3" width="14" style="44" bestFit="1" customWidth="1"/>
  </cols>
  <sheetData>
    <row r="1" spans="1:6" s="42" customFormat="1" ht="15.75" x14ac:dyDescent="0.25">
      <c r="A1" s="42" t="s">
        <v>284</v>
      </c>
      <c r="C1" s="43"/>
    </row>
    <row r="4" spans="1:6" x14ac:dyDescent="0.2">
      <c r="C4" s="33" t="s">
        <v>73</v>
      </c>
    </row>
    <row r="5" spans="1:6" s="54" customFormat="1" x14ac:dyDescent="0.2">
      <c r="A5" s="53"/>
      <c r="B5" s="53"/>
      <c r="C5" s="53"/>
      <c r="D5" s="53"/>
      <c r="E5" s="53"/>
      <c r="F5" s="53"/>
    </row>
    <row r="7" spans="1:6" x14ac:dyDescent="0.2">
      <c r="A7" s="70" t="s">
        <v>331</v>
      </c>
    </row>
    <row r="8" spans="1:6" x14ac:dyDescent="0.2">
      <c r="A8" t="s">
        <v>79</v>
      </c>
      <c r="C8" s="78">
        <v>8.15</v>
      </c>
    </row>
    <row r="9" spans="1:6" x14ac:dyDescent="0.2">
      <c r="A9" t="s">
        <v>77</v>
      </c>
    </row>
    <row r="11" spans="1:6" x14ac:dyDescent="0.2">
      <c r="A11" s="70" t="s">
        <v>283</v>
      </c>
    </row>
    <row r="12" spans="1:6" x14ac:dyDescent="0.2">
      <c r="A12" t="s">
        <v>79</v>
      </c>
      <c r="C12" s="44">
        <v>20.25</v>
      </c>
    </row>
    <row r="13" spans="1:6" x14ac:dyDescent="0.2">
      <c r="A13" t="s">
        <v>77</v>
      </c>
    </row>
    <row r="15" spans="1:6" x14ac:dyDescent="0.2">
      <c r="A15" s="70" t="s">
        <v>285</v>
      </c>
    </row>
    <row r="16" spans="1:6" x14ac:dyDescent="0.2">
      <c r="A16" t="s">
        <v>79</v>
      </c>
      <c r="C16" s="44">
        <v>24.05</v>
      </c>
    </row>
    <row r="17" spans="1:3" x14ac:dyDescent="0.2">
      <c r="A17" t="s">
        <v>77</v>
      </c>
    </row>
    <row r="19" spans="1:3" x14ac:dyDescent="0.2">
      <c r="A19" s="70" t="s">
        <v>286</v>
      </c>
    </row>
    <row r="20" spans="1:3" x14ac:dyDescent="0.2">
      <c r="A20" t="s">
        <v>79</v>
      </c>
    </row>
    <row r="21" spans="1:3" x14ac:dyDescent="0.2">
      <c r="A21" t="s">
        <v>77</v>
      </c>
      <c r="C21" s="32" t="s">
        <v>332</v>
      </c>
    </row>
    <row r="23" spans="1:3" x14ac:dyDescent="0.2">
      <c r="A23" s="70" t="s">
        <v>269</v>
      </c>
    </row>
    <row r="24" spans="1:3" x14ac:dyDescent="0.2">
      <c r="A24" t="s">
        <v>79</v>
      </c>
      <c r="C24" s="44">
        <v>59.9</v>
      </c>
    </row>
    <row r="25" spans="1:3" x14ac:dyDescent="0.2">
      <c r="A25" t="s">
        <v>77</v>
      </c>
    </row>
    <row r="26" spans="1:3" x14ac:dyDescent="0.2">
      <c r="C26" s="73"/>
    </row>
    <row r="27" spans="1:3" x14ac:dyDescent="0.2">
      <c r="B27" s="55"/>
    </row>
    <row r="28" spans="1:3" x14ac:dyDescent="0.2">
      <c r="A28" s="20" t="s">
        <v>287</v>
      </c>
    </row>
    <row r="29" spans="1:3" x14ac:dyDescent="0.2">
      <c r="A29" s="20" t="s">
        <v>208</v>
      </c>
      <c r="C29" s="39">
        <f>SUM(C6:C27)</f>
        <v>112.35</v>
      </c>
    </row>
    <row r="30" spans="1:3" x14ac:dyDescent="0.2">
      <c r="A30" s="20" t="s">
        <v>209</v>
      </c>
    </row>
    <row r="36" spans="3:3" s="20" customFormat="1" x14ac:dyDescent="0.2">
      <c r="C36" s="39"/>
    </row>
    <row r="37" spans="3:3" s="20" customFormat="1" x14ac:dyDescent="0.2">
      <c r="C37" s="39"/>
    </row>
    <row r="38" spans="3:3" s="20" customFormat="1" x14ac:dyDescent="0.2"/>
  </sheetData>
  <pageMargins left="0.75" right="0.75" top="1" bottom="1" header="0.5" footer="0.5"/>
  <pageSetup paperSize="274" orientation="portrait"/>
  <headerFooter alignWithMargins="0">
    <oddFooter>&amp;L&amp;F, &amp;A&amp;R&amp;D</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T30"/>
  <sheetViews>
    <sheetView topLeftCell="A16" zoomScaleNormal="100" workbookViewId="0">
      <selection activeCell="A19" sqref="A19"/>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0" max="10" width="9.140625" style="4" customWidth="1"/>
    <col min="12" max="12" width="2.42578125" customWidth="1"/>
    <col min="15" max="15" width="2.42578125" customWidth="1"/>
  </cols>
  <sheetData>
    <row r="1" spans="1:17" ht="20.25" x14ac:dyDescent="0.3">
      <c r="A1" s="10" t="s">
        <v>69</v>
      </c>
    </row>
    <row r="3" spans="1:17" x14ac:dyDescent="0.2">
      <c r="D3" s="264">
        <v>41639</v>
      </c>
      <c r="E3" s="264"/>
      <c r="G3" s="264">
        <v>41274</v>
      </c>
      <c r="H3" s="264"/>
      <c r="J3" s="264">
        <v>40908</v>
      </c>
      <c r="K3" s="264"/>
      <c r="M3" s="264">
        <v>40543</v>
      </c>
      <c r="N3" s="264"/>
      <c r="O3" s="34"/>
      <c r="P3" s="264">
        <v>40178</v>
      </c>
      <c r="Q3" s="264"/>
    </row>
    <row r="4" spans="1:17" x14ac:dyDescent="0.2">
      <c r="D4" s="248" t="s">
        <v>73</v>
      </c>
      <c r="E4" s="248"/>
      <c r="G4" s="248" t="s">
        <v>73</v>
      </c>
      <c r="H4" s="248"/>
      <c r="J4" s="248" t="s">
        <v>73</v>
      </c>
      <c r="K4" s="248"/>
      <c r="M4" s="248" t="s">
        <v>73</v>
      </c>
      <c r="N4" s="248"/>
      <c r="O4" s="35"/>
      <c r="P4" s="248" t="s">
        <v>73</v>
      </c>
      <c r="Q4" s="248"/>
    </row>
    <row r="5" spans="1:17" ht="15.75" x14ac:dyDescent="0.25">
      <c r="A5" s="2" t="s">
        <v>21</v>
      </c>
      <c r="E5" s="8"/>
      <c r="H5" s="8"/>
      <c r="K5" s="8"/>
      <c r="M5" s="5"/>
      <c r="N5" s="8"/>
      <c r="O5" s="7"/>
      <c r="P5" s="5"/>
      <c r="Q5" s="8"/>
    </row>
    <row r="6" spans="1:17" s="12" customFormat="1" ht="19.5" customHeight="1" x14ac:dyDescent="0.2">
      <c r="A6" s="11" t="s">
        <v>23</v>
      </c>
      <c r="D6" s="68"/>
      <c r="E6" s="14"/>
      <c r="G6" s="68"/>
      <c r="H6" s="14"/>
      <c r="J6" s="68"/>
      <c r="K6" s="14"/>
      <c r="M6" s="13"/>
      <c r="N6" s="14"/>
      <c r="O6" s="36"/>
      <c r="P6" s="13"/>
      <c r="Q6" s="14"/>
    </row>
    <row r="7" spans="1:17" x14ac:dyDescent="0.2">
      <c r="A7" t="s">
        <v>25</v>
      </c>
      <c r="E7" s="8">
        <v>0</v>
      </c>
      <c r="H7" s="8">
        <v>0</v>
      </c>
      <c r="K7" s="8">
        <v>0</v>
      </c>
      <c r="M7" s="5"/>
      <c r="N7" s="8">
        <v>0</v>
      </c>
      <c r="O7" s="7"/>
      <c r="P7" s="5"/>
      <c r="Q7" s="8">
        <v>0</v>
      </c>
    </row>
    <row r="8" spans="1:17" x14ac:dyDescent="0.2">
      <c r="E8" s="8"/>
      <c r="H8" s="8"/>
      <c r="K8" s="8"/>
      <c r="M8" s="5"/>
      <c r="N8" s="8"/>
      <c r="O8" s="7"/>
      <c r="P8" s="5"/>
      <c r="Q8" s="8"/>
    </row>
    <row r="9" spans="1:17" s="12" customFormat="1" ht="19.5" customHeight="1" x14ac:dyDescent="0.2">
      <c r="A9" s="11" t="s">
        <v>24</v>
      </c>
      <c r="D9" s="68"/>
      <c r="E9" s="14"/>
      <c r="G9" s="68"/>
      <c r="H9" s="14"/>
      <c r="J9" s="68"/>
      <c r="K9" s="14"/>
      <c r="M9" s="13"/>
      <c r="N9" s="14"/>
      <c r="O9" s="36"/>
      <c r="P9" s="13"/>
      <c r="Q9" s="14"/>
    </row>
    <row r="10" spans="1:17" x14ac:dyDescent="0.2">
      <c r="A10" t="s">
        <v>26</v>
      </c>
      <c r="D10" s="4">
        <f>+'kolommenbalans 2013'!C26</f>
        <v>99.669999999999987</v>
      </c>
      <c r="E10" s="15"/>
      <c r="G10" s="4">
        <v>62.07</v>
      </c>
      <c r="H10" s="15"/>
      <c r="J10" s="4">
        <v>69.2</v>
      </c>
      <c r="K10" s="15"/>
      <c r="M10" s="5">
        <v>0</v>
      </c>
      <c r="N10" s="15"/>
      <c r="O10" s="26"/>
      <c r="P10" s="5">
        <v>0</v>
      </c>
      <c r="Q10" s="15"/>
    </row>
    <row r="11" spans="1:17" ht="13.5" thickBot="1" x14ac:dyDescent="0.25">
      <c r="A11" t="s">
        <v>70</v>
      </c>
      <c r="D11" s="9">
        <f>+'kolommenbalans 2013'!B26</f>
        <v>18624.18</v>
      </c>
      <c r="E11" s="8"/>
      <c r="G11" s="9">
        <v>11168.810000000001</v>
      </c>
      <c r="H11" s="8"/>
      <c r="J11" s="9">
        <v>10533.65</v>
      </c>
      <c r="K11" s="8"/>
      <c r="M11" s="6">
        <v>6086.88</v>
      </c>
      <c r="N11" s="8"/>
      <c r="O11" s="7"/>
      <c r="P11" s="6">
        <v>635.5</v>
      </c>
      <c r="Q11" s="8"/>
    </row>
    <row r="12" spans="1:17" ht="13.5" thickBot="1" x14ac:dyDescent="0.25">
      <c r="E12" s="16">
        <f>+D11+D10</f>
        <v>18723.849999999999</v>
      </c>
      <c r="H12" s="16">
        <v>11230.880000000001</v>
      </c>
      <c r="K12" s="16">
        <v>10602.85</v>
      </c>
      <c r="M12" s="5"/>
      <c r="N12" s="16">
        <v>6086.88</v>
      </c>
      <c r="O12" s="7"/>
      <c r="P12" s="5"/>
      <c r="Q12" s="16">
        <v>635.5</v>
      </c>
    </row>
    <row r="13" spans="1:17" ht="19.5" customHeight="1" x14ac:dyDescent="0.2">
      <c r="A13" s="3"/>
      <c r="C13" s="29" t="s">
        <v>55</v>
      </c>
      <c r="D13" s="30"/>
      <c r="E13" s="18">
        <f>+E12+E7</f>
        <v>18723.849999999999</v>
      </c>
      <c r="F13" s="29"/>
      <c r="G13" s="30"/>
      <c r="H13" s="18">
        <v>11230.880000000001</v>
      </c>
      <c r="I13" s="29"/>
      <c r="J13" s="30"/>
      <c r="K13" s="18">
        <v>10602.85</v>
      </c>
      <c r="L13" s="29"/>
      <c r="M13" s="7"/>
      <c r="N13" s="18">
        <v>6086.88</v>
      </c>
      <c r="O13" s="37"/>
      <c r="P13" s="7"/>
      <c r="Q13" s="18">
        <v>635.5</v>
      </c>
    </row>
    <row r="14" spans="1:17" x14ac:dyDescent="0.2">
      <c r="E14" s="8"/>
      <c r="H14" s="8"/>
      <c r="K14" s="8"/>
      <c r="M14" s="5"/>
      <c r="N14" s="8"/>
      <c r="O14" s="7"/>
      <c r="P14" s="5"/>
      <c r="Q14" s="8"/>
    </row>
    <row r="15" spans="1:17" ht="15.75" x14ac:dyDescent="0.25">
      <c r="A15" s="2" t="s">
        <v>22</v>
      </c>
      <c r="E15" s="8"/>
      <c r="H15" s="8"/>
      <c r="K15" s="8"/>
      <c r="M15" s="5"/>
      <c r="N15" s="8"/>
      <c r="O15" s="7"/>
      <c r="P15" s="5"/>
      <c r="Q15" s="8"/>
    </row>
    <row r="16" spans="1:17" ht="19.5" customHeight="1" x14ac:dyDescent="0.2">
      <c r="A16" s="11" t="s">
        <v>29</v>
      </c>
      <c r="E16" s="8"/>
      <c r="H16" s="8"/>
      <c r="K16" s="8"/>
      <c r="M16" s="5"/>
      <c r="N16" s="8"/>
      <c r="O16" s="7"/>
      <c r="P16" s="5"/>
      <c r="Q16" s="8"/>
    </row>
    <row r="17" spans="1:20" x14ac:dyDescent="0.2">
      <c r="A17" t="s">
        <v>28</v>
      </c>
      <c r="D17" s="5">
        <f>-'kolommenbalans 2013'!D26</f>
        <v>11223.85</v>
      </c>
      <c r="E17" s="8"/>
      <c r="G17" s="5">
        <v>635.5</v>
      </c>
      <c r="H17" s="8"/>
      <c r="J17" s="5">
        <v>635.5</v>
      </c>
      <c r="K17" s="8"/>
      <c r="M17" s="5">
        <v>635.5</v>
      </c>
      <c r="N17" s="8"/>
      <c r="O17" s="7"/>
      <c r="P17" s="5">
        <v>635.5</v>
      </c>
      <c r="Q17" s="8"/>
    </row>
    <row r="18" spans="1:20" x14ac:dyDescent="0.2">
      <c r="A18" s="70" t="s">
        <v>282</v>
      </c>
      <c r="D18" s="5">
        <f>-'kolommenbalans 2013'!E26</f>
        <v>7500</v>
      </c>
      <c r="E18" s="8"/>
      <c r="G18" s="5">
        <v>1460</v>
      </c>
      <c r="H18" s="8"/>
      <c r="J18" s="5">
        <v>3130</v>
      </c>
      <c r="K18" s="8"/>
      <c r="M18" s="5">
        <v>0</v>
      </c>
      <c r="N18" s="8"/>
      <c r="O18" s="7"/>
      <c r="P18" s="5">
        <v>0</v>
      </c>
      <c r="Q18" s="8"/>
    </row>
    <row r="19" spans="1:20" ht="13.5" thickBot="1" x14ac:dyDescent="0.25">
      <c r="A19" t="s">
        <v>17</v>
      </c>
      <c r="D19" s="9">
        <f>-'kolommenbalans 2013'!F26</f>
        <v>0</v>
      </c>
      <c r="E19" s="8"/>
      <c r="G19" s="9">
        <v>7458.3500000000013</v>
      </c>
      <c r="H19" s="8"/>
      <c r="J19" s="9">
        <v>-41.450000000000728</v>
      </c>
      <c r="K19" s="8"/>
      <c r="M19" s="6">
        <v>2458.5500000000002</v>
      </c>
      <c r="N19" s="8"/>
      <c r="O19" s="7"/>
      <c r="P19" s="6">
        <v>0</v>
      </c>
      <c r="Q19" s="8"/>
    </row>
    <row r="20" spans="1:20" s="12" customFormat="1" ht="13.5" customHeight="1" x14ac:dyDescent="0.2">
      <c r="D20" s="68"/>
      <c r="E20" s="49">
        <f>+D19+D17+D18</f>
        <v>18723.849999999999</v>
      </c>
      <c r="G20" s="68"/>
      <c r="H20" s="49">
        <v>9553.8500000000022</v>
      </c>
      <c r="J20" s="68"/>
      <c r="K20" s="49">
        <v>3724.0499999999993</v>
      </c>
      <c r="M20" s="13"/>
      <c r="N20" s="49">
        <v>3094.05</v>
      </c>
      <c r="O20" s="50"/>
      <c r="P20" s="50"/>
      <c r="Q20" s="49">
        <v>635.5</v>
      </c>
    </row>
    <row r="21" spans="1:20" x14ac:dyDescent="0.2">
      <c r="E21" s="8"/>
      <c r="H21" s="8"/>
      <c r="K21" s="8"/>
      <c r="M21" s="5"/>
      <c r="N21" s="8"/>
      <c r="O21" s="7"/>
      <c r="P21" s="5"/>
      <c r="Q21" s="8"/>
    </row>
    <row r="22" spans="1:20" s="12" customFormat="1" ht="19.5" customHeight="1" thickBot="1" x14ac:dyDescent="0.25">
      <c r="A22" s="11" t="s">
        <v>30</v>
      </c>
      <c r="E22" s="16">
        <f>-'kolommenbalans 2013'!G26</f>
        <v>0</v>
      </c>
      <c r="H22" s="16">
        <v>1677.0299999999997</v>
      </c>
      <c r="K22" s="16">
        <v>6879</v>
      </c>
      <c r="M22" s="13"/>
      <c r="N22" s="51">
        <v>2993.0299999999997</v>
      </c>
      <c r="O22" s="36"/>
      <c r="P22" s="13"/>
      <c r="Q22" s="17">
        <v>0</v>
      </c>
    </row>
    <row r="23" spans="1:20" ht="19.5" customHeight="1" x14ac:dyDescent="0.2">
      <c r="C23" s="29" t="s">
        <v>55</v>
      </c>
      <c r="D23" s="30"/>
      <c r="E23" s="18">
        <f>+E20+E22</f>
        <v>18723.849999999999</v>
      </c>
      <c r="F23" s="29"/>
      <c r="G23" s="30"/>
      <c r="H23" s="18">
        <v>11230.880000000001</v>
      </c>
      <c r="I23" s="29"/>
      <c r="J23" s="30"/>
      <c r="K23" s="18">
        <v>10603.05</v>
      </c>
      <c r="L23" s="29"/>
      <c r="M23" s="5"/>
      <c r="N23" s="18">
        <v>6087.08</v>
      </c>
      <c r="O23" s="37"/>
      <c r="P23" s="5"/>
      <c r="Q23" s="18">
        <v>635.5</v>
      </c>
    </row>
    <row r="24" spans="1:20" ht="19.5" customHeight="1" x14ac:dyDescent="0.2">
      <c r="E24" s="18"/>
      <c r="H24" s="18"/>
      <c r="K24" s="18"/>
      <c r="M24" s="5"/>
      <c r="N24" s="18"/>
      <c r="O24" s="37"/>
      <c r="P24" s="5"/>
      <c r="Q24" s="18"/>
    </row>
    <row r="25" spans="1:20" ht="19.5" customHeight="1" x14ac:dyDescent="0.2">
      <c r="E25" s="18"/>
      <c r="H25" s="18"/>
      <c r="K25" s="18"/>
      <c r="M25" s="5"/>
      <c r="N25" s="18"/>
      <c r="O25" s="37"/>
      <c r="P25" s="5"/>
      <c r="Q25" s="18"/>
    </row>
    <row r="26" spans="1:20" x14ac:dyDescent="0.2">
      <c r="M26" s="5"/>
      <c r="N26" s="7"/>
      <c r="O26" s="7"/>
      <c r="P26" s="5"/>
      <c r="Q26" s="7"/>
    </row>
    <row r="27" spans="1:20" x14ac:dyDescent="0.2">
      <c r="E27" s="52"/>
      <c r="H27" s="52"/>
      <c r="K27" s="52"/>
    </row>
    <row r="28" spans="1:20" x14ac:dyDescent="0.2">
      <c r="A28" t="s">
        <v>31</v>
      </c>
      <c r="C28" s="70" t="s">
        <v>280</v>
      </c>
      <c r="N28" s="22"/>
      <c r="O28" s="22"/>
      <c r="Q28" s="22"/>
    </row>
    <row r="29" spans="1:20" x14ac:dyDescent="0.2">
      <c r="A29" t="s">
        <v>34</v>
      </c>
      <c r="T29" s="12"/>
    </row>
    <row r="30" spans="1:20" x14ac:dyDescent="0.2">
      <c r="A30" t="s">
        <v>33</v>
      </c>
    </row>
  </sheetData>
  <mergeCells count="10">
    <mergeCell ref="P3:Q3"/>
    <mergeCell ref="G4:H4"/>
    <mergeCell ref="J4:K4"/>
    <mergeCell ref="M4:N4"/>
    <mergeCell ref="P4:Q4"/>
    <mergeCell ref="D3:E3"/>
    <mergeCell ref="D4:E4"/>
    <mergeCell ref="G3:H3"/>
    <mergeCell ref="J3:K3"/>
    <mergeCell ref="M3:N3"/>
  </mergeCells>
  <pageMargins left="0.74803149606299213" right="0.74803149606299213" top="0.98425196850393704" bottom="0.98425196850393704" header="0.51181102362204722" footer="0.51181102362204722"/>
  <pageSetup paperSize="274" orientation="landscape"/>
  <headerFooter alignWithMargins="0">
    <oddFooter>&amp;L&amp;F, &amp;A&amp;R&amp;D</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72"/>
  <sheetViews>
    <sheetView zoomScaleNormal="100" workbookViewId="0">
      <selection activeCell="A19" sqref="A19"/>
    </sheetView>
  </sheetViews>
  <sheetFormatPr defaultColWidth="8.85546875" defaultRowHeight="12.75" x14ac:dyDescent="0.2"/>
  <cols>
    <col min="1" max="1" width="6.42578125" customWidth="1"/>
    <col min="3" max="3" width="24.140625" customWidth="1"/>
    <col min="6" max="6" width="2.42578125" customWidth="1"/>
    <col min="9" max="9" width="2.42578125" customWidth="1"/>
    <col min="12" max="12" width="2.42578125" customWidth="1"/>
    <col min="13" max="13" width="9.140625" style="5" customWidth="1"/>
    <col min="15" max="15" width="2.85546875" customWidth="1"/>
    <col min="17" max="17" width="10.28515625" bestFit="1" customWidth="1"/>
    <col min="18" max="18" width="20.42578125" customWidth="1"/>
  </cols>
  <sheetData>
    <row r="1" spans="1:17" ht="20.25" x14ac:dyDescent="0.3">
      <c r="A1" s="10" t="s">
        <v>74</v>
      </c>
    </row>
    <row r="3" spans="1:17" x14ac:dyDescent="0.2">
      <c r="D3" s="249" t="s">
        <v>244</v>
      </c>
      <c r="E3" s="236"/>
      <c r="F3" s="27"/>
      <c r="G3" s="249" t="s">
        <v>230</v>
      </c>
      <c r="H3" s="236"/>
      <c r="I3" s="27"/>
      <c r="J3" s="251" t="s">
        <v>164</v>
      </c>
      <c r="K3" s="236"/>
      <c r="L3" s="27"/>
      <c r="M3" s="250" t="s">
        <v>38</v>
      </c>
      <c r="N3" s="236"/>
      <c r="P3" s="251" t="s">
        <v>75</v>
      </c>
      <c r="Q3" s="236"/>
    </row>
    <row r="4" spans="1:17" x14ac:dyDescent="0.2">
      <c r="D4" s="232" t="s">
        <v>73</v>
      </c>
      <c r="E4" s="231"/>
      <c r="F4" s="28"/>
      <c r="G4" s="232" t="s">
        <v>73</v>
      </c>
      <c r="H4" s="231"/>
      <c r="I4" s="28"/>
      <c r="J4" s="232" t="s">
        <v>73</v>
      </c>
      <c r="K4" s="231"/>
      <c r="L4" s="28"/>
      <c r="M4" s="232" t="s">
        <v>73</v>
      </c>
      <c r="N4" s="231"/>
      <c r="P4" s="232" t="s">
        <v>73</v>
      </c>
      <c r="Q4" s="231"/>
    </row>
    <row r="5" spans="1:17" ht="15.75" x14ac:dyDescent="0.25">
      <c r="A5" s="2" t="s">
        <v>0</v>
      </c>
      <c r="D5" s="5"/>
      <c r="E5" s="8"/>
      <c r="F5" s="7"/>
      <c r="G5" s="5"/>
      <c r="H5" s="8"/>
      <c r="I5" s="7"/>
      <c r="J5" s="5"/>
      <c r="K5" s="8"/>
      <c r="L5" s="7"/>
      <c r="N5" s="8"/>
      <c r="P5" s="5"/>
      <c r="Q5" s="8"/>
    </row>
    <row r="6" spans="1:17" x14ac:dyDescent="0.2">
      <c r="A6" t="s">
        <v>11</v>
      </c>
      <c r="E6" s="8"/>
      <c r="F6" s="7"/>
      <c r="H6" s="8"/>
      <c r="I6" s="7"/>
      <c r="K6" s="8"/>
      <c r="L6" s="7"/>
      <c r="N6" s="8"/>
      <c r="Q6" s="8"/>
    </row>
    <row r="7" spans="1:17" x14ac:dyDescent="0.2">
      <c r="A7" t="s">
        <v>1</v>
      </c>
      <c r="D7" s="5">
        <v>0</v>
      </c>
      <c r="E7" s="8"/>
      <c r="F7" s="7"/>
      <c r="G7" s="5">
        <v>0</v>
      </c>
      <c r="H7" s="8"/>
      <c r="I7" s="7"/>
      <c r="J7" s="5">
        <v>0</v>
      </c>
      <c r="K7" s="8"/>
      <c r="L7" s="7"/>
      <c r="M7" s="5">
        <v>0</v>
      </c>
      <c r="N7" s="8"/>
      <c r="P7" s="5">
        <v>0</v>
      </c>
      <c r="Q7" s="8"/>
    </row>
    <row r="8" spans="1:17" x14ac:dyDescent="0.2">
      <c r="A8" t="s">
        <v>2</v>
      </c>
      <c r="D8" s="5">
        <v>7500</v>
      </c>
      <c r="E8" s="8"/>
      <c r="F8" s="7"/>
      <c r="G8" s="5">
        <v>7500</v>
      </c>
      <c r="H8" s="8"/>
      <c r="I8" s="7"/>
      <c r="J8" s="5">
        <v>7500</v>
      </c>
      <c r="K8" s="8"/>
      <c r="L8" s="7"/>
      <c r="M8" s="5">
        <v>7500</v>
      </c>
      <c r="N8" s="8"/>
      <c r="P8" s="5">
        <v>7500</v>
      </c>
      <c r="Q8" s="8"/>
    </row>
    <row r="9" spans="1:17" ht="13.5" thickBot="1" x14ac:dyDescent="0.25">
      <c r="A9" t="s">
        <v>57</v>
      </c>
      <c r="D9" s="6">
        <f>+'kolommenbalans 2013'!J14</f>
        <v>99.669999999999987</v>
      </c>
      <c r="E9" s="8"/>
      <c r="F9" s="7"/>
      <c r="G9" s="6">
        <v>62</v>
      </c>
      <c r="H9" s="8"/>
      <c r="I9" s="7"/>
      <c r="J9" s="6">
        <f>+'winst en verlies 2011'!D9</f>
        <v>69.2</v>
      </c>
      <c r="K9" s="8"/>
      <c r="L9" s="7"/>
      <c r="M9" s="6">
        <f>+'meerjarenbegroting '!F8</f>
        <v>100</v>
      </c>
      <c r="N9" s="8"/>
      <c r="P9" s="6">
        <v>86.56</v>
      </c>
      <c r="Q9" s="8"/>
    </row>
    <row r="10" spans="1:17" ht="19.5" customHeight="1" x14ac:dyDescent="0.2">
      <c r="A10" s="3" t="s">
        <v>3</v>
      </c>
      <c r="D10" s="7"/>
      <c r="E10" s="8">
        <f>SUM(D7:D9)</f>
        <v>7599.67</v>
      </c>
      <c r="F10" s="7"/>
      <c r="G10" s="7"/>
      <c r="H10" s="8">
        <f>SUM(G7:G9)</f>
        <v>7562</v>
      </c>
      <c r="I10" s="7"/>
      <c r="J10" s="7"/>
      <c r="K10" s="8">
        <f>SUM(J7:J9)</f>
        <v>7569.2</v>
      </c>
      <c r="L10" s="7"/>
      <c r="M10" s="7"/>
      <c r="N10" s="8">
        <f>SUM(M7:M9)</f>
        <v>7600</v>
      </c>
      <c r="P10" s="7"/>
      <c r="Q10" s="8">
        <v>7586.56</v>
      </c>
    </row>
    <row r="11" spans="1:17" x14ac:dyDescent="0.2">
      <c r="D11" s="5"/>
      <c r="E11" s="8"/>
      <c r="F11" s="7"/>
      <c r="G11" s="5"/>
      <c r="H11" s="8"/>
      <c r="I11" s="7"/>
      <c r="J11" s="5"/>
      <c r="K11" s="8"/>
      <c r="L11" s="7"/>
      <c r="N11" s="8"/>
      <c r="P11" s="5"/>
      <c r="Q11" s="8"/>
    </row>
    <row r="12" spans="1:17" x14ac:dyDescent="0.2">
      <c r="A12" t="s">
        <v>4</v>
      </c>
      <c r="D12" s="5">
        <v>0</v>
      </c>
      <c r="E12" s="8"/>
      <c r="F12" s="7"/>
      <c r="G12" s="5">
        <v>0</v>
      </c>
      <c r="H12" s="8"/>
      <c r="I12" s="7"/>
      <c r="J12" s="5">
        <v>0</v>
      </c>
      <c r="K12" s="8"/>
      <c r="L12" s="7"/>
      <c r="M12" s="5">
        <v>0</v>
      </c>
      <c r="N12" s="8"/>
      <c r="P12" s="5">
        <v>0</v>
      </c>
      <c r="Q12" s="8"/>
    </row>
    <row r="13" spans="1:17" ht="13.5" thickBot="1" x14ac:dyDescent="0.25">
      <c r="A13" t="s">
        <v>5</v>
      </c>
      <c r="D13" s="6">
        <v>0</v>
      </c>
      <c r="E13" s="8"/>
      <c r="F13" s="7"/>
      <c r="G13" s="6">
        <v>0</v>
      </c>
      <c r="H13" s="8"/>
      <c r="I13" s="7"/>
      <c r="J13" s="6">
        <v>0</v>
      </c>
      <c r="K13" s="8"/>
      <c r="L13" s="7"/>
      <c r="M13" s="6">
        <v>0</v>
      </c>
      <c r="N13" s="8"/>
      <c r="P13" s="6">
        <v>0</v>
      </c>
      <c r="Q13" s="8"/>
    </row>
    <row r="14" spans="1:17" ht="19.5" customHeight="1" x14ac:dyDescent="0.2">
      <c r="A14" s="3" t="s">
        <v>6</v>
      </c>
      <c r="D14" s="7"/>
      <c r="E14" s="8">
        <f>-SUM(D12:D13)</f>
        <v>0</v>
      </c>
      <c r="F14" s="7"/>
      <c r="G14" s="7"/>
      <c r="H14" s="8">
        <f>-SUM(G12:G13)</f>
        <v>0</v>
      </c>
      <c r="I14" s="7"/>
      <c r="J14" s="7"/>
      <c r="K14" s="8">
        <f>-SUM(J12:J13)</f>
        <v>0</v>
      </c>
      <c r="L14" s="7"/>
      <c r="M14" s="7"/>
      <c r="N14" s="8">
        <f>-SUM(M12:M13)</f>
        <v>0</v>
      </c>
      <c r="P14" s="7"/>
      <c r="Q14" s="8">
        <v>0</v>
      </c>
    </row>
    <row r="15" spans="1:17" ht="13.5" thickBot="1" x14ac:dyDescent="0.25">
      <c r="A15" t="s">
        <v>14</v>
      </c>
      <c r="D15" s="5"/>
      <c r="E15" s="19">
        <f>+E14/E10</f>
        <v>0</v>
      </c>
      <c r="F15" s="26"/>
      <c r="G15" s="5"/>
      <c r="H15" s="19">
        <f>+H14/H10</f>
        <v>0</v>
      </c>
      <c r="I15" s="26"/>
      <c r="J15" s="5"/>
      <c r="K15" s="19">
        <f>+K14/K10</f>
        <v>0</v>
      </c>
      <c r="L15" s="26"/>
      <c r="N15" s="19">
        <f>+N14/N10</f>
        <v>0</v>
      </c>
      <c r="P15" s="5"/>
      <c r="Q15" s="19">
        <v>0</v>
      </c>
    </row>
    <row r="16" spans="1:17" ht="19.5" customHeight="1" x14ac:dyDescent="0.2">
      <c r="A16" s="3" t="s">
        <v>8</v>
      </c>
      <c r="D16" s="7"/>
      <c r="E16" s="8">
        <f>+E10+E14</f>
        <v>7599.67</v>
      </c>
      <c r="F16" s="7"/>
      <c r="G16" s="7"/>
      <c r="H16" s="8">
        <f>+H10+H14</f>
        <v>7562</v>
      </c>
      <c r="I16" s="7"/>
      <c r="J16" s="7"/>
      <c r="K16" s="8">
        <f>+K10+K14</f>
        <v>7569.2</v>
      </c>
      <c r="L16" s="7"/>
      <c r="M16" s="7"/>
      <c r="N16" s="8">
        <f>+N10+N14</f>
        <v>7600</v>
      </c>
      <c r="P16" s="7"/>
      <c r="Q16" s="8">
        <v>7586.56</v>
      </c>
    </row>
    <row r="17" spans="1:19" ht="13.5" thickBot="1" x14ac:dyDescent="0.25">
      <c r="A17" t="s">
        <v>7</v>
      </c>
      <c r="D17" s="5"/>
      <c r="E17" s="16">
        <v>0</v>
      </c>
      <c r="F17" s="7"/>
      <c r="G17" s="5"/>
      <c r="H17" s="16">
        <v>0</v>
      </c>
      <c r="I17" s="7"/>
      <c r="J17" s="5"/>
      <c r="K17" s="16">
        <v>0</v>
      </c>
      <c r="L17" s="7"/>
      <c r="N17" s="16">
        <v>0</v>
      </c>
      <c r="P17" s="5"/>
      <c r="Q17" s="16">
        <v>0</v>
      </c>
    </row>
    <row r="18" spans="1:19" ht="19.5" customHeight="1" x14ac:dyDescent="0.2">
      <c r="A18" s="3" t="s">
        <v>9</v>
      </c>
      <c r="D18" s="7"/>
      <c r="E18" s="8">
        <f>+E17+E16</f>
        <v>7599.67</v>
      </c>
      <c r="F18" s="7"/>
      <c r="G18" s="7"/>
      <c r="H18" s="8">
        <f>+H17+H16</f>
        <v>7562</v>
      </c>
      <c r="I18" s="7"/>
      <c r="J18" s="7"/>
      <c r="K18" s="8">
        <f>+K17+K16</f>
        <v>7569.2</v>
      </c>
      <c r="L18" s="7"/>
      <c r="M18" s="7"/>
      <c r="N18" s="8">
        <f>+N17+N16</f>
        <v>7600</v>
      </c>
      <c r="P18" s="7"/>
      <c r="Q18" s="8">
        <v>7586.56</v>
      </c>
    </row>
    <row r="19" spans="1:19" x14ac:dyDescent="0.2">
      <c r="D19" s="5"/>
      <c r="E19" s="8"/>
      <c r="F19" s="7"/>
      <c r="G19" s="5"/>
      <c r="H19" s="8"/>
      <c r="I19" s="7"/>
      <c r="J19" s="5"/>
      <c r="K19" s="8"/>
      <c r="L19" s="7"/>
      <c r="N19" s="8"/>
      <c r="P19" s="5"/>
      <c r="Q19" s="8"/>
    </row>
    <row r="20" spans="1:19" ht="15.75" x14ac:dyDescent="0.25">
      <c r="A20" s="2" t="s">
        <v>10</v>
      </c>
      <c r="D20" s="5"/>
      <c r="E20" s="8"/>
      <c r="F20" s="7"/>
      <c r="G20" s="5"/>
      <c r="H20" s="8"/>
      <c r="I20" s="7"/>
      <c r="J20" s="5"/>
      <c r="K20" s="8"/>
      <c r="L20" s="7"/>
      <c r="N20" s="8"/>
      <c r="P20" s="5"/>
      <c r="Q20" s="8"/>
    </row>
    <row r="21" spans="1:19" x14ac:dyDescent="0.2">
      <c r="A21" t="s">
        <v>12</v>
      </c>
      <c r="D21" s="5">
        <v>0</v>
      </c>
      <c r="E21" s="8"/>
      <c r="F21" s="7"/>
      <c r="G21" s="5">
        <v>0</v>
      </c>
      <c r="H21" s="8"/>
      <c r="I21" s="7"/>
      <c r="J21" s="5">
        <v>10000</v>
      </c>
      <c r="K21" s="8"/>
      <c r="L21" s="7"/>
      <c r="M21" s="5">
        <v>7500</v>
      </c>
      <c r="N21" s="8"/>
      <c r="P21" s="5">
        <v>5053.45</v>
      </c>
      <c r="Q21" s="8"/>
    </row>
    <row r="22" spans="1:19" ht="13.5" thickBot="1" x14ac:dyDescent="0.25">
      <c r="A22" t="s">
        <v>5</v>
      </c>
      <c r="D22" s="6">
        <v>100</v>
      </c>
      <c r="E22" s="8"/>
      <c r="F22" s="7"/>
      <c r="G22" s="6">
        <v>62</v>
      </c>
      <c r="H22" s="8"/>
      <c r="I22" s="7"/>
      <c r="J22" s="6">
        <f>+J9</f>
        <v>69.2</v>
      </c>
      <c r="K22" s="8"/>
      <c r="L22" s="7"/>
      <c r="M22" s="6">
        <f>+'meerjarenbegroting '!F21</f>
        <v>100</v>
      </c>
      <c r="N22" s="8"/>
      <c r="P22" s="6">
        <v>74.56</v>
      </c>
      <c r="Q22" s="8"/>
      <c r="S22" s="52"/>
    </row>
    <row r="23" spans="1:19" x14ac:dyDescent="0.2">
      <c r="D23" s="5"/>
      <c r="E23" s="8"/>
      <c r="F23" s="7"/>
      <c r="G23" s="5"/>
      <c r="H23" s="8"/>
      <c r="I23" s="7"/>
      <c r="J23" s="5"/>
      <c r="K23" s="8"/>
      <c r="L23" s="7"/>
      <c r="N23" s="8"/>
      <c r="P23" s="5"/>
      <c r="Q23" s="8"/>
    </row>
    <row r="24" spans="1:19" ht="19.5" customHeight="1" x14ac:dyDescent="0.2">
      <c r="A24" s="3" t="s">
        <v>13</v>
      </c>
      <c r="D24" s="7"/>
      <c r="E24" s="8">
        <f>SUM(D20:D22)</f>
        <v>100</v>
      </c>
      <c r="F24" s="7"/>
      <c r="G24" s="7"/>
      <c r="H24" s="8">
        <f>SUM(G20:G22)</f>
        <v>62</v>
      </c>
      <c r="I24" s="7"/>
      <c r="J24" s="7"/>
      <c r="K24" s="8">
        <f>SUM(J20:J22)</f>
        <v>10069.200000000001</v>
      </c>
      <c r="L24" s="7"/>
      <c r="M24" s="7"/>
      <c r="N24" s="8">
        <f>+M22+M21</f>
        <v>7600</v>
      </c>
      <c r="P24" s="7"/>
      <c r="Q24" s="8">
        <v>5128.01</v>
      </c>
    </row>
    <row r="25" spans="1:19" x14ac:dyDescent="0.2">
      <c r="D25" s="5"/>
      <c r="E25" s="8"/>
      <c r="F25" s="7"/>
      <c r="G25" s="5"/>
      <c r="H25" s="8"/>
      <c r="I25" s="7"/>
      <c r="J25" s="5"/>
      <c r="K25" s="8"/>
      <c r="L25" s="7"/>
      <c r="N25" s="8"/>
      <c r="P25" s="5"/>
      <c r="Q25" s="8"/>
      <c r="R25" s="52"/>
    </row>
    <row r="26" spans="1:19" ht="19.5" customHeight="1" x14ac:dyDescent="0.2">
      <c r="A26" s="1" t="s">
        <v>15</v>
      </c>
      <c r="D26" s="7"/>
      <c r="E26" s="8">
        <f>+E18-E24</f>
        <v>7499.67</v>
      </c>
      <c r="F26" s="7"/>
      <c r="G26" s="7"/>
      <c r="H26" s="8">
        <f>+H18-H24</f>
        <v>7500</v>
      </c>
      <c r="I26" s="7"/>
      <c r="J26" s="7"/>
      <c r="K26" s="8">
        <f>+K18-K24</f>
        <v>-2500.0000000000009</v>
      </c>
      <c r="L26" s="7"/>
      <c r="M26" s="7"/>
      <c r="N26" s="8">
        <f>+N18-N24</f>
        <v>0</v>
      </c>
      <c r="P26" s="7"/>
      <c r="Q26" s="8">
        <v>2458.5500000000002</v>
      </c>
    </row>
    <row r="27" spans="1:19" x14ac:dyDescent="0.2">
      <c r="D27" s="5"/>
      <c r="E27" s="7"/>
      <c r="F27" s="7"/>
      <c r="G27" s="5"/>
      <c r="H27" s="7"/>
      <c r="I27" s="7"/>
      <c r="J27" s="5"/>
      <c r="K27" s="7"/>
      <c r="L27" s="7"/>
      <c r="N27" s="7"/>
      <c r="P27" s="5"/>
      <c r="Q27" s="7"/>
    </row>
    <row r="28" spans="1:19" x14ac:dyDescent="0.2">
      <c r="A28" s="20" t="s">
        <v>16</v>
      </c>
      <c r="D28" s="5"/>
      <c r="E28" s="7"/>
      <c r="F28" s="7"/>
      <c r="G28" s="5"/>
      <c r="H28" s="7"/>
      <c r="I28" s="7"/>
      <c r="J28" s="5"/>
      <c r="K28" s="7"/>
      <c r="L28" s="7"/>
      <c r="N28" s="7"/>
      <c r="P28" s="5"/>
      <c r="Q28" s="7"/>
    </row>
    <row r="29" spans="1:19" x14ac:dyDescent="0.2">
      <c r="A29" t="s">
        <v>17</v>
      </c>
      <c r="D29" s="5">
        <v>7500</v>
      </c>
      <c r="E29" s="8"/>
      <c r="F29" s="7"/>
      <c r="G29" s="5">
        <v>7500</v>
      </c>
      <c r="H29" s="8"/>
      <c r="I29" s="7"/>
      <c r="J29" s="5">
        <v>630</v>
      </c>
      <c r="K29" s="8"/>
      <c r="L29" s="7"/>
      <c r="M29" s="5">
        <v>0</v>
      </c>
      <c r="N29" s="8"/>
      <c r="P29" s="5">
        <v>2458.5500000000002</v>
      </c>
      <c r="Q29" s="8"/>
    </row>
    <row r="30" spans="1:19" x14ac:dyDescent="0.2">
      <c r="A30" t="s">
        <v>181</v>
      </c>
      <c r="D30" s="5">
        <v>0</v>
      </c>
      <c r="E30" s="8"/>
      <c r="F30" s="7"/>
      <c r="G30" s="5">
        <v>0</v>
      </c>
      <c r="H30" s="8"/>
      <c r="I30" s="7"/>
      <c r="J30" s="5">
        <v>-3130</v>
      </c>
      <c r="K30" s="8"/>
      <c r="L30" s="7"/>
      <c r="N30" s="8"/>
      <c r="P30" s="5"/>
      <c r="Q30" s="8"/>
    </row>
    <row r="31" spans="1:19" ht="13.5" thickBot="1" x14ac:dyDescent="0.25">
      <c r="A31" t="s">
        <v>28</v>
      </c>
      <c r="D31" s="6">
        <v>0</v>
      </c>
      <c r="E31" s="8"/>
      <c r="F31" s="7"/>
      <c r="G31" s="6">
        <v>0</v>
      </c>
      <c r="H31" s="8"/>
      <c r="I31" s="7"/>
      <c r="J31" s="6">
        <v>0</v>
      </c>
      <c r="K31" s="8"/>
      <c r="L31" s="7"/>
      <c r="M31" s="6">
        <f>+N26</f>
        <v>0</v>
      </c>
      <c r="N31" s="8"/>
      <c r="P31" s="9">
        <v>0</v>
      </c>
      <c r="Q31" s="8"/>
    </row>
    <row r="32" spans="1:19" ht="19.5" customHeight="1" x14ac:dyDescent="0.2">
      <c r="A32" s="3"/>
      <c r="D32" s="7"/>
      <c r="E32" s="8">
        <f>+D29+D31+D30</f>
        <v>7500</v>
      </c>
      <c r="F32" s="7"/>
      <c r="G32" s="7"/>
      <c r="H32" s="8">
        <f>+G29+G31+G30</f>
        <v>7500</v>
      </c>
      <c r="I32" s="7"/>
      <c r="J32" s="7"/>
      <c r="K32" s="8">
        <f>+J29+J31+J30</f>
        <v>-2500</v>
      </c>
      <c r="L32" s="7"/>
      <c r="M32" s="7"/>
      <c r="N32" s="8">
        <f>+M31+M29</f>
        <v>0</v>
      </c>
      <c r="P32" s="7"/>
      <c r="Q32" s="8">
        <v>2458.5500000000002</v>
      </c>
    </row>
    <row r="33" spans="1:17" ht="19.5" customHeight="1" x14ac:dyDescent="0.2">
      <c r="A33" s="3"/>
      <c r="D33" s="7"/>
      <c r="E33" s="8"/>
      <c r="F33" s="7"/>
      <c r="G33" s="7"/>
      <c r="H33" s="8"/>
      <c r="I33" s="7"/>
      <c r="J33" s="7"/>
      <c r="K33" s="8"/>
      <c r="L33" s="7"/>
      <c r="M33" s="7"/>
      <c r="N33" s="8"/>
      <c r="P33" s="7"/>
      <c r="Q33" s="8"/>
    </row>
    <row r="34" spans="1:17" ht="19.5" customHeight="1" x14ac:dyDescent="0.2">
      <c r="A34" s="3"/>
      <c r="F34" s="7"/>
      <c r="I34" s="7"/>
      <c r="L34" s="7"/>
      <c r="M34" s="7"/>
      <c r="N34" s="7"/>
    </row>
    <row r="35" spans="1:17" x14ac:dyDescent="0.2">
      <c r="A35" t="s">
        <v>43</v>
      </c>
    </row>
    <row r="36" spans="1:17" x14ac:dyDescent="0.2">
      <c r="A36" t="s">
        <v>47</v>
      </c>
    </row>
    <row r="37" spans="1:17" x14ac:dyDescent="0.2">
      <c r="B37" t="s">
        <v>44</v>
      </c>
    </row>
    <row r="38" spans="1:17" x14ac:dyDescent="0.2">
      <c r="B38" t="s">
        <v>45</v>
      </c>
    </row>
    <row r="40" spans="1:17" x14ac:dyDescent="0.2">
      <c r="B40" t="s">
        <v>107</v>
      </c>
    </row>
    <row r="41" spans="1:17" x14ac:dyDescent="0.2">
      <c r="B41" s="70" t="s">
        <v>245</v>
      </c>
      <c r="J41" s="23" t="s">
        <v>53</v>
      </c>
      <c r="K41" s="47">
        <f>-(+'kolommenbalans 2013'!J8+'kolommenbalans 2013'!J9-6.82+'kolommenbalans 2013'!J12)</f>
        <v>39.770000000000003</v>
      </c>
    </row>
    <row r="42" spans="1:17" ht="15" x14ac:dyDescent="0.35">
      <c r="B42" s="70" t="s">
        <v>256</v>
      </c>
      <c r="J42" s="23" t="s">
        <v>53</v>
      </c>
      <c r="K42" s="48">
        <v>59.9</v>
      </c>
    </row>
    <row r="43" spans="1:17" x14ac:dyDescent="0.2">
      <c r="J43" s="23" t="s">
        <v>53</v>
      </c>
      <c r="K43" s="47">
        <f>SUM(K41:K42)</f>
        <v>99.67</v>
      </c>
    </row>
    <row r="44" spans="1:17" x14ac:dyDescent="0.2">
      <c r="P44" s="5"/>
    </row>
    <row r="45" spans="1:17" x14ac:dyDescent="0.2">
      <c r="A45" t="s">
        <v>46</v>
      </c>
      <c r="P45" s="5"/>
    </row>
    <row r="46" spans="1:17" x14ac:dyDescent="0.2">
      <c r="B46" s="70" t="s">
        <v>257</v>
      </c>
      <c r="P46" s="5"/>
      <c r="Q46" s="44"/>
    </row>
    <row r="47" spans="1:17" x14ac:dyDescent="0.2">
      <c r="B47" s="70" t="s">
        <v>261</v>
      </c>
      <c r="P47" s="5"/>
      <c r="Q47" s="44"/>
    </row>
    <row r="48" spans="1:17" x14ac:dyDescent="0.2">
      <c r="B48" s="70" t="s">
        <v>262</v>
      </c>
      <c r="P48" s="5"/>
      <c r="Q48" s="44"/>
    </row>
    <row r="49" spans="1:19" x14ac:dyDescent="0.2">
      <c r="B49" s="70" t="s">
        <v>260</v>
      </c>
      <c r="P49" s="23"/>
      <c r="Q49" s="44"/>
    </row>
    <row r="50" spans="1:19" s="5" customFormat="1" x14ac:dyDescent="0.2">
      <c r="A50"/>
      <c r="B50" t="s">
        <v>259</v>
      </c>
      <c r="C50"/>
      <c r="D50"/>
      <c r="E50"/>
      <c r="F50"/>
      <c r="G50"/>
      <c r="H50"/>
      <c r="I50"/>
      <c r="J50"/>
      <c r="K50"/>
      <c r="L50"/>
      <c r="N50"/>
      <c r="O50"/>
      <c r="P50" s="23"/>
      <c r="Q50" s="44"/>
      <c r="R50"/>
      <c r="S50"/>
    </row>
    <row r="51" spans="1:19" s="5" customFormat="1" x14ac:dyDescent="0.2">
      <c r="A51"/>
      <c r="B51" t="s">
        <v>258</v>
      </c>
      <c r="C51"/>
      <c r="D51"/>
      <c r="E51"/>
      <c r="F51"/>
      <c r="G51"/>
      <c r="H51"/>
      <c r="I51"/>
      <c r="J51"/>
      <c r="K51"/>
      <c r="L51"/>
      <c r="N51"/>
      <c r="O51"/>
      <c r="P51" s="23"/>
      <c r="Q51" s="44"/>
      <c r="R51"/>
      <c r="S51"/>
    </row>
    <row r="52" spans="1:19" s="5" customFormat="1" x14ac:dyDescent="0.2">
      <c r="A52"/>
      <c r="B52" t="s">
        <v>263</v>
      </c>
      <c r="C52"/>
      <c r="D52"/>
      <c r="E52"/>
      <c r="F52"/>
      <c r="G52"/>
      <c r="H52"/>
      <c r="I52"/>
      <c r="J52"/>
      <c r="K52"/>
      <c r="L52"/>
      <c r="N52"/>
      <c r="O52"/>
      <c r="P52" s="23"/>
      <c r="Q52" s="44"/>
      <c r="R52"/>
      <c r="S52"/>
    </row>
    <row r="53" spans="1:19" s="5" customFormat="1" x14ac:dyDescent="0.2">
      <c r="A53"/>
      <c r="B53"/>
      <c r="C53"/>
      <c r="D53"/>
      <c r="E53"/>
      <c r="F53"/>
      <c r="G53"/>
      <c r="H53"/>
      <c r="I53"/>
      <c r="J53"/>
      <c r="K53"/>
      <c r="L53"/>
      <c r="N53"/>
      <c r="O53"/>
      <c r="Q53" s="44"/>
      <c r="R53"/>
      <c r="S53"/>
    </row>
    <row r="54" spans="1:19" s="5" customFormat="1" x14ac:dyDescent="0.2">
      <c r="A54" t="s">
        <v>173</v>
      </c>
      <c r="B54"/>
      <c r="C54"/>
      <c r="D54"/>
      <c r="E54"/>
      <c r="F54"/>
      <c r="G54"/>
      <c r="H54"/>
      <c r="I54"/>
      <c r="J54"/>
      <c r="K54"/>
      <c r="L54"/>
      <c r="N54"/>
      <c r="O54"/>
      <c r="Q54" s="44"/>
      <c r="R54"/>
      <c r="S54"/>
    </row>
    <row r="55" spans="1:19" s="5" customFormat="1" x14ac:dyDescent="0.2">
      <c r="A55"/>
      <c r="B55" t="s">
        <v>71</v>
      </c>
      <c r="C55"/>
      <c r="D55"/>
      <c r="E55"/>
      <c r="F55"/>
      <c r="G55"/>
      <c r="H55"/>
      <c r="I55"/>
      <c r="J55" s="23" t="s">
        <v>53</v>
      </c>
      <c r="K55" s="44">
        <f>+K41</f>
        <v>39.770000000000003</v>
      </c>
      <c r="L55"/>
      <c r="N55"/>
      <c r="O55"/>
      <c r="R55"/>
      <c r="S55"/>
    </row>
    <row r="56" spans="1:19" s="5" customFormat="1" x14ac:dyDescent="0.2">
      <c r="A56"/>
      <c r="B56" t="str">
        <f>+B42</f>
        <v>Bijdragen St. Transparante Anbi.nl</v>
      </c>
      <c r="C56"/>
      <c r="D56"/>
      <c r="E56"/>
      <c r="F56"/>
      <c r="G56"/>
      <c r="H56"/>
      <c r="I56"/>
      <c r="J56" s="23" t="s">
        <v>53</v>
      </c>
      <c r="K56" s="46">
        <f>+K42</f>
        <v>59.9</v>
      </c>
      <c r="L56"/>
      <c r="N56"/>
      <c r="O56"/>
      <c r="R56"/>
      <c r="S56"/>
    </row>
    <row r="57" spans="1:19" s="5" customFormat="1" x14ac:dyDescent="0.2">
      <c r="A57"/>
      <c r="B57"/>
      <c r="C57"/>
      <c r="D57"/>
      <c r="E57"/>
      <c r="F57"/>
      <c r="G57"/>
      <c r="H57"/>
      <c r="I57"/>
      <c r="J57" s="23" t="s">
        <v>53</v>
      </c>
      <c r="K57" s="44">
        <f>+K56+K55</f>
        <v>99.67</v>
      </c>
      <c r="L57"/>
      <c r="N57"/>
      <c r="O57"/>
      <c r="R57"/>
      <c r="S57"/>
    </row>
    <row r="58" spans="1:19" s="5" customFormat="1" x14ac:dyDescent="0.2">
      <c r="A58"/>
      <c r="B58"/>
      <c r="C58"/>
      <c r="D58"/>
      <c r="E58"/>
      <c r="F58"/>
      <c r="G58"/>
      <c r="H58"/>
      <c r="I58"/>
      <c r="J58"/>
      <c r="K58"/>
      <c r="L58"/>
      <c r="N58"/>
      <c r="O58"/>
      <c r="P58" s="23"/>
      <c r="Q58" s="44"/>
      <c r="R58"/>
      <c r="S58"/>
    </row>
    <row r="59" spans="1:19" s="5" customFormat="1" x14ac:dyDescent="0.2">
      <c r="A59" s="70"/>
      <c r="B59"/>
      <c r="C59"/>
      <c r="D59"/>
      <c r="E59"/>
      <c r="F59"/>
      <c r="G59"/>
      <c r="H59"/>
      <c r="I59"/>
      <c r="J59"/>
      <c r="K59"/>
      <c r="L59"/>
      <c r="N59"/>
      <c r="O59"/>
      <c r="P59" s="23"/>
      <c r="Q59" s="44"/>
      <c r="R59"/>
      <c r="S59"/>
    </row>
    <row r="60" spans="1:19" s="5" customFormat="1" x14ac:dyDescent="0.2">
      <c r="A60"/>
      <c r="B60" s="70"/>
      <c r="C60" s="24"/>
      <c r="D60"/>
      <c r="E60"/>
      <c r="F60"/>
      <c r="G60"/>
      <c r="H60"/>
      <c r="I60"/>
      <c r="J60" s="23"/>
      <c r="K60" s="72"/>
      <c r="L60"/>
      <c r="N60"/>
      <c r="O60"/>
      <c r="P60" s="23"/>
      <c r="Q60" s="44"/>
      <c r="R60"/>
      <c r="S60"/>
    </row>
    <row r="61" spans="1:19" s="5" customFormat="1" x14ac:dyDescent="0.2">
      <c r="A61"/>
      <c r="B61"/>
      <c r="C61" s="24"/>
      <c r="D61"/>
      <c r="E61"/>
      <c r="F61"/>
      <c r="G61"/>
      <c r="H61"/>
      <c r="I61"/>
      <c r="J61"/>
      <c r="K61"/>
      <c r="L61"/>
      <c r="N61"/>
      <c r="O61"/>
      <c r="P61" s="23"/>
      <c r="Q61" s="44"/>
      <c r="R61"/>
      <c r="S61"/>
    </row>
    <row r="62" spans="1:19" x14ac:dyDescent="0.2">
      <c r="C62" s="24"/>
    </row>
    <row r="63" spans="1:19" x14ac:dyDescent="0.2">
      <c r="C63" s="24"/>
    </row>
    <row r="72" spans="1:1" x14ac:dyDescent="0.2">
      <c r="A72" s="21"/>
    </row>
  </sheetData>
  <mergeCells count="10">
    <mergeCell ref="P3:Q3"/>
    <mergeCell ref="G4:H4"/>
    <mergeCell ref="J4:K4"/>
    <mergeCell ref="M4:N4"/>
    <mergeCell ref="P4:Q4"/>
    <mergeCell ref="D3:E3"/>
    <mergeCell ref="D4:E4"/>
    <mergeCell ref="G3:H3"/>
    <mergeCell ref="J3:K3"/>
    <mergeCell ref="M3:N3"/>
  </mergeCells>
  <pageMargins left="0.74803149606299213" right="0.74803149606299213" top="0.98425196850393704" bottom="0.78740157480314965" header="0.51181102362204722" footer="0.51181102362204722"/>
  <pageSetup paperSize="9" scale="73" orientation="portrait"/>
  <headerFooter alignWithMargins="0">
    <oddFooter>&amp;L&amp;F, &amp;A&amp;R&amp;D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6"/>
  <sheetViews>
    <sheetView workbookViewId="0">
      <selection activeCell="F24" sqref="F24"/>
    </sheetView>
  </sheetViews>
  <sheetFormatPr defaultColWidth="8.85546875" defaultRowHeight="12.75" x14ac:dyDescent="0.2"/>
  <cols>
    <col min="1" max="1" width="16.85546875" customWidth="1"/>
    <col min="2" max="2" width="10.28515625" bestFit="1" customWidth="1"/>
    <col min="3" max="3" width="9.28515625" bestFit="1" customWidth="1"/>
    <col min="4" max="4" width="10.28515625" bestFit="1" customWidth="1"/>
    <col min="5" max="5" width="9.42578125" bestFit="1" customWidth="1"/>
    <col min="6" max="6" width="10.28515625" customWidth="1"/>
    <col min="7" max="7" width="10.28515625" bestFit="1" customWidth="1"/>
    <col min="8" max="10" width="9.28515625" bestFit="1" customWidth="1"/>
    <col min="11" max="11" width="4.7109375" bestFit="1" customWidth="1"/>
    <col min="12" max="12" width="10.28515625" bestFit="1" customWidth="1"/>
    <col min="13" max="13" width="9.28515625" bestFit="1" customWidth="1"/>
  </cols>
  <sheetData>
    <row r="1" spans="1:13" ht="15.75" x14ac:dyDescent="0.25">
      <c r="A1" s="42" t="s">
        <v>246</v>
      </c>
    </row>
    <row r="2" spans="1:13" ht="12" customHeight="1" x14ac:dyDescent="0.2"/>
    <row r="3" spans="1:13" s="12" customFormat="1" ht="127.5" x14ac:dyDescent="0.2">
      <c r="B3" s="69" t="s">
        <v>185</v>
      </c>
      <c r="C3" s="69" t="s">
        <v>184</v>
      </c>
      <c r="D3" s="69" t="s">
        <v>186</v>
      </c>
      <c r="E3" s="69" t="s">
        <v>202</v>
      </c>
      <c r="F3" s="69" t="s">
        <v>187</v>
      </c>
      <c r="G3" s="69" t="s">
        <v>193</v>
      </c>
      <c r="H3" s="69" t="s">
        <v>188</v>
      </c>
      <c r="I3" s="69" t="s">
        <v>189</v>
      </c>
      <c r="J3" s="69" t="s">
        <v>190</v>
      </c>
      <c r="K3" s="69" t="s">
        <v>206</v>
      </c>
    </row>
    <row r="5" spans="1:13" s="20" customFormat="1" x14ac:dyDescent="0.2">
      <c r="A5" s="20" t="s">
        <v>191</v>
      </c>
      <c r="B5" s="39">
        <f>+'kolommenbalans 2012'!B26</f>
        <v>11168.810000000001</v>
      </c>
      <c r="C5" s="39">
        <f>+'kolommenbalans 2012'!C26</f>
        <v>62.07</v>
      </c>
      <c r="D5" s="39">
        <f>+'kolommenbalans 2012'!D26</f>
        <v>-635.5</v>
      </c>
      <c r="E5" s="39">
        <f>+'kolommenbalans 2012'!E26</f>
        <v>-1460</v>
      </c>
      <c r="F5" s="39">
        <f>+'kolommenbalans 2012'!F26</f>
        <v>-7458.3500000000013</v>
      </c>
      <c r="G5" s="39">
        <f>+'kolommenbalans 2012'!G26</f>
        <v>-1677.0299999999997</v>
      </c>
      <c r="H5" s="39"/>
      <c r="I5" s="39"/>
      <c r="J5" s="39"/>
      <c r="K5" s="39"/>
      <c r="L5" s="39">
        <f>SUM(B5:K5)</f>
        <v>0</v>
      </c>
      <c r="M5" s="39">
        <f>SUM(H5:K5)</f>
        <v>0</v>
      </c>
    </row>
    <row r="6" spans="1:13" x14ac:dyDescent="0.2">
      <c r="A6" s="70" t="s">
        <v>248</v>
      </c>
      <c r="B6" s="32">
        <f>+B5+SUM(C6:K6)</f>
        <v>11161.78</v>
      </c>
      <c r="C6" s="32"/>
      <c r="D6" s="32"/>
      <c r="E6" s="32"/>
      <c r="F6" s="32"/>
      <c r="G6" s="32">
        <v>-7.03</v>
      </c>
      <c r="H6" s="32"/>
      <c r="I6" s="32"/>
      <c r="J6" s="32"/>
      <c r="K6" s="32"/>
      <c r="L6" s="39"/>
      <c r="M6" s="32"/>
    </row>
    <row r="7" spans="1:13" x14ac:dyDescent="0.2">
      <c r="A7" s="70" t="s">
        <v>249</v>
      </c>
      <c r="B7" s="32">
        <f t="shared" ref="B7:B12" si="0">+B6+SUM(C7:K7)</f>
        <v>11223.85</v>
      </c>
      <c r="C7" s="32">
        <v>62.07</v>
      </c>
      <c r="D7" s="32"/>
      <c r="E7" s="32"/>
      <c r="F7" s="32"/>
      <c r="G7" s="32"/>
      <c r="H7" s="32"/>
      <c r="I7" s="32"/>
      <c r="J7" s="32"/>
      <c r="K7" s="32"/>
      <c r="L7" s="39"/>
      <c r="M7" s="32"/>
    </row>
    <row r="8" spans="1:13" x14ac:dyDescent="0.2">
      <c r="A8" s="70" t="s">
        <v>250</v>
      </c>
      <c r="B8" s="32">
        <f t="shared" si="0"/>
        <v>11213.82</v>
      </c>
      <c r="C8" s="32"/>
      <c r="D8" s="32"/>
      <c r="E8" s="32"/>
      <c r="F8" s="32"/>
      <c r="G8" s="32"/>
      <c r="H8" s="32"/>
      <c r="I8" s="32"/>
      <c r="J8" s="32">
        <v>-10.029999999999999</v>
      </c>
      <c r="K8" s="32"/>
      <c r="L8" s="39"/>
      <c r="M8" s="32"/>
    </row>
    <row r="9" spans="1:13" x14ac:dyDescent="0.2">
      <c r="A9" s="70" t="s">
        <v>251</v>
      </c>
      <c r="B9" s="32">
        <f t="shared" si="0"/>
        <v>11201</v>
      </c>
      <c r="C9" s="32"/>
      <c r="D9" s="32"/>
      <c r="E9" s="32"/>
      <c r="F9" s="32"/>
      <c r="G9" s="32"/>
      <c r="H9" s="32"/>
      <c r="I9" s="32"/>
      <c r="J9" s="32">
        <v>-12.82</v>
      </c>
      <c r="K9" s="32"/>
      <c r="L9" s="39"/>
      <c r="M9" s="32"/>
    </row>
    <row r="10" spans="1:13" x14ac:dyDescent="0.2">
      <c r="A10" s="70" t="s">
        <v>252</v>
      </c>
      <c r="B10" s="32">
        <f t="shared" si="0"/>
        <v>11134.28</v>
      </c>
      <c r="C10" s="32"/>
      <c r="D10" s="32"/>
      <c r="E10" s="32"/>
      <c r="F10" s="32"/>
      <c r="G10" s="32"/>
      <c r="H10" s="32"/>
      <c r="I10" s="32"/>
      <c r="J10" s="32">
        <f>-6.82-59.9</f>
        <v>-66.72</v>
      </c>
      <c r="K10" s="32"/>
      <c r="L10" s="39"/>
      <c r="M10" s="32"/>
    </row>
    <row r="11" spans="1:13" x14ac:dyDescent="0.2">
      <c r="A11" s="70" t="s">
        <v>253</v>
      </c>
      <c r="B11" s="32">
        <f t="shared" si="0"/>
        <v>18634.28</v>
      </c>
      <c r="C11" s="32"/>
      <c r="D11" s="32"/>
      <c r="E11" s="32"/>
      <c r="F11" s="32"/>
      <c r="G11" s="32"/>
      <c r="H11" s="32">
        <v>7500</v>
      </c>
      <c r="I11" s="32"/>
      <c r="J11" s="32"/>
      <c r="K11" s="32"/>
      <c r="L11" s="39"/>
      <c r="M11" s="32"/>
    </row>
    <row r="12" spans="1:13" x14ac:dyDescent="0.2">
      <c r="A12" s="70" t="s">
        <v>254</v>
      </c>
      <c r="B12" s="32">
        <f t="shared" si="0"/>
        <v>18624.18</v>
      </c>
      <c r="C12" s="32"/>
      <c r="D12" s="32"/>
      <c r="E12" s="32"/>
      <c r="F12" s="32"/>
      <c r="G12" s="32"/>
      <c r="H12" s="32"/>
      <c r="I12" s="32"/>
      <c r="J12" s="32">
        <v>-10.1</v>
      </c>
      <c r="K12" s="32"/>
      <c r="L12" s="39"/>
      <c r="M12" s="32"/>
    </row>
    <row r="13" spans="1:13" x14ac:dyDescent="0.2">
      <c r="B13" s="32"/>
      <c r="C13" s="32"/>
      <c r="D13" s="32"/>
      <c r="E13" s="32"/>
      <c r="F13" s="32"/>
      <c r="G13" s="32"/>
      <c r="H13" s="32"/>
      <c r="I13" s="32"/>
      <c r="J13" s="32"/>
      <c r="K13" s="32"/>
      <c r="L13" s="32"/>
      <c r="M13" s="32"/>
    </row>
    <row r="14" spans="1:13" s="20" customFormat="1" x14ac:dyDescent="0.2">
      <c r="A14" s="20" t="s">
        <v>203</v>
      </c>
      <c r="B14" s="39">
        <f>+B12</f>
        <v>18624.18</v>
      </c>
      <c r="C14" s="39">
        <f t="shared" ref="C14:K14" si="1">+C5-SUM(C6:C12)</f>
        <v>0</v>
      </c>
      <c r="D14" s="39">
        <f>+D5-SUM(D6:D12)</f>
        <v>-635.5</v>
      </c>
      <c r="E14" s="39">
        <f t="shared" si="1"/>
        <v>-1460</v>
      </c>
      <c r="F14" s="39">
        <f t="shared" si="1"/>
        <v>-7458.3500000000013</v>
      </c>
      <c r="G14" s="39">
        <f>+G5-SUM(G6:G12)</f>
        <v>-1669.9999999999998</v>
      </c>
      <c r="H14" s="39">
        <f t="shared" si="1"/>
        <v>-7500</v>
      </c>
      <c r="I14" s="39">
        <f t="shared" si="1"/>
        <v>0</v>
      </c>
      <c r="J14" s="39">
        <f t="shared" si="1"/>
        <v>99.669999999999987</v>
      </c>
      <c r="K14" s="39">
        <f t="shared" si="1"/>
        <v>0</v>
      </c>
      <c r="L14" s="39">
        <f>SUM(B14:K14)</f>
        <v>-1.9042545318370685E-12</v>
      </c>
      <c r="M14" s="39"/>
    </row>
    <row r="15" spans="1:13" s="20" customFormat="1" x14ac:dyDescent="0.2">
      <c r="B15" s="39"/>
      <c r="C15" s="39"/>
      <c r="D15" s="39"/>
      <c r="E15" s="39"/>
      <c r="F15" s="39"/>
      <c r="G15" s="39"/>
      <c r="H15" s="39"/>
      <c r="I15" s="39"/>
      <c r="J15" s="39"/>
      <c r="K15" s="39"/>
      <c r="L15" s="39"/>
      <c r="M15" s="39"/>
    </row>
    <row r="16" spans="1:13" x14ac:dyDescent="0.2">
      <c r="A16" s="20" t="s">
        <v>199</v>
      </c>
      <c r="B16" s="32"/>
      <c r="C16" s="32"/>
      <c r="D16" s="32"/>
      <c r="E16" s="32"/>
      <c r="F16" s="32"/>
      <c r="G16" s="32"/>
      <c r="H16" s="32"/>
      <c r="I16" s="32"/>
      <c r="J16" s="32"/>
      <c r="K16" s="32"/>
      <c r="L16" s="32"/>
      <c r="M16" s="32"/>
    </row>
    <row r="17" spans="1:13" x14ac:dyDescent="0.2">
      <c r="A17" s="70" t="s">
        <v>219</v>
      </c>
      <c r="B17" s="32"/>
      <c r="C17" s="32">
        <f>+J14</f>
        <v>99.669999999999987</v>
      </c>
      <c r="D17" s="32"/>
      <c r="E17" s="32"/>
      <c r="F17" s="32"/>
      <c r="G17" s="32"/>
      <c r="H17" s="32"/>
      <c r="I17" s="32"/>
      <c r="J17" s="32">
        <f>-J14</f>
        <v>-99.669999999999987</v>
      </c>
      <c r="K17" s="32"/>
      <c r="L17" s="32">
        <f>SUM(B17:K17)</f>
        <v>0</v>
      </c>
      <c r="M17" s="32"/>
    </row>
    <row r="18" spans="1:13" x14ac:dyDescent="0.2">
      <c r="A18" s="70" t="s">
        <v>255</v>
      </c>
      <c r="B18" s="32"/>
      <c r="C18" s="32"/>
      <c r="D18" s="32"/>
      <c r="E18" s="32">
        <v>1460</v>
      </c>
      <c r="F18" s="32">
        <f>-E18-G18</f>
        <v>-3130</v>
      </c>
      <c r="G18" s="32">
        <v>1670</v>
      </c>
      <c r="H18" s="32"/>
      <c r="I18" s="32"/>
      <c r="J18" s="32"/>
      <c r="K18" s="32"/>
      <c r="L18" s="32"/>
      <c r="M18" s="32"/>
    </row>
    <row r="19" spans="1:13" x14ac:dyDescent="0.2">
      <c r="A19" s="70" t="s">
        <v>279</v>
      </c>
      <c r="B19" s="32"/>
      <c r="C19" s="32"/>
      <c r="D19" s="32"/>
      <c r="E19" s="32">
        <v>-7500</v>
      </c>
      <c r="F19" s="32">
        <v>7500</v>
      </c>
      <c r="G19" s="32"/>
      <c r="H19" s="32"/>
      <c r="I19" s="32"/>
      <c r="J19" s="32"/>
      <c r="K19" s="32"/>
      <c r="L19" s="32"/>
      <c r="M19" s="32"/>
    </row>
    <row r="20" spans="1:13" x14ac:dyDescent="0.2">
      <c r="A20" s="70" t="s">
        <v>281</v>
      </c>
      <c r="B20" s="32"/>
      <c r="C20" s="32"/>
      <c r="D20" s="32">
        <f>+-10588.35</f>
        <v>-10588.35</v>
      </c>
      <c r="E20" s="32"/>
      <c r="F20" s="32">
        <v>10588.35</v>
      </c>
      <c r="G20" s="32"/>
      <c r="H20" s="32"/>
      <c r="I20" s="32"/>
      <c r="J20" s="32"/>
      <c r="K20" s="32"/>
      <c r="L20" s="32"/>
      <c r="M20" s="32"/>
    </row>
    <row r="21" spans="1:13" x14ac:dyDescent="0.2">
      <c r="B21" s="32"/>
      <c r="C21" s="32"/>
      <c r="D21" s="32"/>
      <c r="E21" s="32"/>
      <c r="F21" s="32"/>
      <c r="G21" s="32"/>
      <c r="H21" s="32"/>
      <c r="I21" s="32"/>
      <c r="J21" s="32"/>
      <c r="K21" s="32"/>
      <c r="L21" s="32"/>
      <c r="M21" s="32"/>
    </row>
    <row r="22" spans="1:13" s="20" customFormat="1" x14ac:dyDescent="0.2">
      <c r="A22" s="20" t="s">
        <v>194</v>
      </c>
      <c r="B22" s="39">
        <f t="shared" ref="B22:K22" si="2">+SUM(B14:B21)</f>
        <v>18624.18</v>
      </c>
      <c r="C22" s="39">
        <f t="shared" si="2"/>
        <v>99.669999999999987</v>
      </c>
      <c r="D22" s="39">
        <f t="shared" si="2"/>
        <v>-11223.85</v>
      </c>
      <c r="E22" s="39">
        <f t="shared" si="2"/>
        <v>-7500</v>
      </c>
      <c r="F22" s="39">
        <f t="shared" si="2"/>
        <v>7499.9999999999982</v>
      </c>
      <c r="G22" s="39">
        <f t="shared" si="2"/>
        <v>0</v>
      </c>
      <c r="H22" s="39">
        <f t="shared" si="2"/>
        <v>-7500</v>
      </c>
      <c r="I22" s="39">
        <f t="shared" si="2"/>
        <v>0</v>
      </c>
      <c r="J22" s="39">
        <f t="shared" si="2"/>
        <v>0</v>
      </c>
      <c r="K22" s="39">
        <f t="shared" si="2"/>
        <v>0</v>
      </c>
      <c r="L22" s="39">
        <f>SUM(B22:K22)</f>
        <v>-3.637978807091713E-12</v>
      </c>
      <c r="M22" s="39"/>
    </row>
    <row r="23" spans="1:13" x14ac:dyDescent="0.2">
      <c r="B23" s="32"/>
      <c r="C23" s="32"/>
      <c r="D23" s="32"/>
      <c r="E23" s="32"/>
      <c r="F23" s="32"/>
      <c r="G23" s="32"/>
      <c r="H23" s="32"/>
      <c r="I23" s="32"/>
      <c r="J23" s="32"/>
      <c r="K23" s="32"/>
      <c r="L23" s="32"/>
      <c r="M23" s="32"/>
    </row>
    <row r="24" spans="1:13" s="20" customFormat="1" x14ac:dyDescent="0.2">
      <c r="A24" s="20" t="s">
        <v>247</v>
      </c>
      <c r="B24" s="39"/>
      <c r="D24" s="39"/>
      <c r="E24" s="39"/>
      <c r="F24" s="39">
        <f>-SUM(B22:G22)</f>
        <v>-7499.9999999999964</v>
      </c>
      <c r="G24" s="39"/>
      <c r="H24" s="39">
        <f>-SUM(H22:K22)</f>
        <v>7500</v>
      </c>
      <c r="I24" s="39"/>
      <c r="J24" s="39"/>
      <c r="K24" s="39"/>
      <c r="L24" s="39">
        <f>SUM(B24:K24)</f>
        <v>0</v>
      </c>
      <c r="M24" s="39"/>
    </row>
    <row r="25" spans="1:13" x14ac:dyDescent="0.2">
      <c r="B25" s="32"/>
      <c r="C25" s="32"/>
      <c r="D25" s="32"/>
      <c r="E25" s="32"/>
      <c r="F25" s="32"/>
      <c r="G25" s="32"/>
      <c r="H25" s="32"/>
      <c r="I25" s="32"/>
      <c r="J25" s="32"/>
      <c r="K25" s="32"/>
      <c r="L25" s="32"/>
      <c r="M25" s="32"/>
    </row>
    <row r="26" spans="1:13" s="20" customFormat="1" x14ac:dyDescent="0.2">
      <c r="A26" s="20" t="s">
        <v>240</v>
      </c>
      <c r="B26" s="39">
        <f t="shared" ref="B26:G26" si="3">+B22+B24</f>
        <v>18624.18</v>
      </c>
      <c r="C26" s="39">
        <f t="shared" si="3"/>
        <v>99.669999999999987</v>
      </c>
      <c r="D26" s="39">
        <f t="shared" si="3"/>
        <v>-11223.85</v>
      </c>
      <c r="E26" s="39">
        <f t="shared" si="3"/>
        <v>-7500</v>
      </c>
      <c r="F26" s="39">
        <f t="shared" si="3"/>
        <v>0</v>
      </c>
      <c r="G26" s="39">
        <f t="shared" si="3"/>
        <v>0</v>
      </c>
      <c r="H26" s="39"/>
      <c r="I26" s="39"/>
      <c r="J26" s="39"/>
      <c r="K26" s="39"/>
      <c r="L26" s="39">
        <f>SUM(B26:K26)</f>
        <v>-1.8189894035458565E-12</v>
      </c>
      <c r="M26" s="39"/>
    </row>
  </sheetData>
  <pageMargins left="0.75" right="0.75" top="1" bottom="1" header="0.5" footer="0.5"/>
  <pageSetup paperSize="274" orientation="landscape"/>
  <headerFooter alignWithMargins="0">
    <oddFooter>&amp;L&amp;F, &amp;A&amp;R&amp;D</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8"/>
  <sheetViews>
    <sheetView zoomScaleNormal="100" workbookViewId="0">
      <selection activeCell="A19" sqref="A19"/>
    </sheetView>
  </sheetViews>
  <sheetFormatPr defaultColWidth="8.85546875" defaultRowHeight="12.75" x14ac:dyDescent="0.2"/>
  <cols>
    <col min="1" max="1" width="9.28515625" bestFit="1" customWidth="1"/>
    <col min="2" max="2" width="27.42578125" bestFit="1" customWidth="1"/>
    <col min="3" max="3" width="14" style="44" bestFit="1" customWidth="1"/>
  </cols>
  <sheetData>
    <row r="1" spans="1:6" s="42" customFormat="1" ht="15.75" x14ac:dyDescent="0.25">
      <c r="A1" s="42" t="s">
        <v>264</v>
      </c>
      <c r="C1" s="43"/>
    </row>
    <row r="4" spans="1:6" x14ac:dyDescent="0.2">
      <c r="C4" s="33" t="s">
        <v>73</v>
      </c>
    </row>
    <row r="5" spans="1:6" s="54" customFormat="1" x14ac:dyDescent="0.2">
      <c r="A5" s="53"/>
      <c r="B5" s="53"/>
      <c r="C5" s="53"/>
      <c r="D5" s="53"/>
      <c r="E5" s="53"/>
      <c r="F5" s="53"/>
    </row>
    <row r="7" spans="1:6" x14ac:dyDescent="0.2">
      <c r="A7" s="70" t="s">
        <v>265</v>
      </c>
    </row>
    <row r="8" spans="1:6" x14ac:dyDescent="0.2">
      <c r="A8" t="s">
        <v>79</v>
      </c>
    </row>
    <row r="9" spans="1:6" x14ac:dyDescent="0.2">
      <c r="A9" t="s">
        <v>77</v>
      </c>
      <c r="C9" s="44">
        <v>10.029999999999999</v>
      </c>
    </row>
    <row r="11" spans="1:6" x14ac:dyDescent="0.2">
      <c r="A11" s="70" t="s">
        <v>266</v>
      </c>
    </row>
    <row r="12" spans="1:6" x14ac:dyDescent="0.2">
      <c r="A12" t="s">
        <v>79</v>
      </c>
    </row>
    <row r="13" spans="1:6" x14ac:dyDescent="0.2">
      <c r="A13" t="s">
        <v>77</v>
      </c>
      <c r="C13" s="44">
        <v>12.82</v>
      </c>
    </row>
    <row r="15" spans="1:6" x14ac:dyDescent="0.2">
      <c r="A15" s="70" t="s">
        <v>267</v>
      </c>
    </row>
    <row r="16" spans="1:6" x14ac:dyDescent="0.2">
      <c r="A16" t="s">
        <v>79</v>
      </c>
    </row>
    <row r="17" spans="1:3" x14ac:dyDescent="0.2">
      <c r="A17" t="s">
        <v>77</v>
      </c>
      <c r="C17" s="44">
        <v>6.82</v>
      </c>
    </row>
    <row r="19" spans="1:3" x14ac:dyDescent="0.2">
      <c r="A19" s="70" t="s">
        <v>268</v>
      </c>
    </row>
    <row r="20" spans="1:3" x14ac:dyDescent="0.2">
      <c r="A20" t="s">
        <v>79</v>
      </c>
    </row>
    <row r="21" spans="1:3" x14ac:dyDescent="0.2">
      <c r="A21" t="s">
        <v>77</v>
      </c>
      <c r="C21" s="44">
        <v>10.1</v>
      </c>
    </row>
    <row r="23" spans="1:3" x14ac:dyDescent="0.2">
      <c r="A23" s="70" t="s">
        <v>269</v>
      </c>
    </row>
    <row r="24" spans="1:3" x14ac:dyDescent="0.2">
      <c r="A24" t="s">
        <v>79</v>
      </c>
    </row>
    <row r="25" spans="1:3" x14ac:dyDescent="0.2">
      <c r="A25" t="s">
        <v>77</v>
      </c>
      <c r="C25" s="44">
        <v>59.9</v>
      </c>
    </row>
    <row r="26" spans="1:3" x14ac:dyDescent="0.2">
      <c r="C26" s="73"/>
    </row>
    <row r="27" spans="1:3" x14ac:dyDescent="0.2">
      <c r="B27" s="55"/>
    </row>
    <row r="28" spans="1:3" x14ac:dyDescent="0.2">
      <c r="A28" s="20" t="s">
        <v>270</v>
      </c>
    </row>
    <row r="29" spans="1:3" x14ac:dyDescent="0.2">
      <c r="A29" s="20" t="s">
        <v>208</v>
      </c>
      <c r="C29" s="39">
        <f>SUM(C6:C27)</f>
        <v>99.67</v>
      </c>
    </row>
    <row r="30" spans="1:3" x14ac:dyDescent="0.2">
      <c r="A30" s="20" t="s">
        <v>209</v>
      </c>
    </row>
    <row r="36" spans="3:3" s="20" customFormat="1" x14ac:dyDescent="0.2">
      <c r="C36" s="39"/>
    </row>
    <row r="37" spans="3:3" s="20" customFormat="1" x14ac:dyDescent="0.2">
      <c r="C37" s="39"/>
    </row>
    <row r="38" spans="3:3" s="20" customFormat="1" x14ac:dyDescent="0.2"/>
  </sheetData>
  <pageMargins left="0.75" right="0.75" top="1" bottom="1" header="0.5" footer="0.5"/>
  <pageSetup paperSize="274" orientation="portrait"/>
  <headerFooter alignWithMargins="0">
    <oddFooter>&amp;L&amp;F, &amp;A&amp;R&amp;D</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30"/>
  <sheetViews>
    <sheetView zoomScaleNormal="100" workbookViewId="0">
      <selection activeCell="D24" sqref="D24"/>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7" max="7" width="9.140625" style="4" customWidth="1"/>
    <col min="9" max="9" width="2.42578125" customWidth="1"/>
    <col min="12" max="12" width="2.42578125" customWidth="1"/>
  </cols>
  <sheetData>
    <row r="1" spans="1:14" ht="20.25" x14ac:dyDescent="0.3">
      <c r="A1" s="10" t="s">
        <v>69</v>
      </c>
    </row>
    <row r="3" spans="1:14" x14ac:dyDescent="0.2">
      <c r="D3" s="264">
        <v>41274</v>
      </c>
      <c r="E3" s="264"/>
      <c r="G3" s="264">
        <v>40908</v>
      </c>
      <c r="H3" s="264"/>
      <c r="J3" s="264">
        <v>40543</v>
      </c>
      <c r="K3" s="264"/>
      <c r="L3" s="34"/>
      <c r="M3" s="264">
        <v>40178</v>
      </c>
      <c r="N3" s="264"/>
    </row>
    <row r="4" spans="1:14" x14ac:dyDescent="0.2">
      <c r="D4" s="248" t="s">
        <v>73</v>
      </c>
      <c r="E4" s="248"/>
      <c r="G4" s="248" t="s">
        <v>73</v>
      </c>
      <c r="H4" s="248"/>
      <c r="J4" s="248" t="s">
        <v>73</v>
      </c>
      <c r="K4" s="248"/>
      <c r="L4" s="35"/>
      <c r="M4" s="248" t="s">
        <v>73</v>
      </c>
      <c r="N4" s="248"/>
    </row>
    <row r="5" spans="1:14" ht="15.75" x14ac:dyDescent="0.25">
      <c r="A5" s="2" t="s">
        <v>21</v>
      </c>
      <c r="E5" s="8"/>
      <c r="H5" s="8"/>
      <c r="J5" s="5"/>
      <c r="K5" s="8"/>
      <c r="L5" s="7"/>
      <c r="M5" s="5"/>
      <c r="N5" s="8"/>
    </row>
    <row r="6" spans="1:14" s="12" customFormat="1" ht="19.5" customHeight="1" x14ac:dyDescent="0.2">
      <c r="A6" s="11" t="s">
        <v>23</v>
      </c>
      <c r="D6" s="68"/>
      <c r="E6" s="14"/>
      <c r="G6" s="68"/>
      <c r="H6" s="14"/>
      <c r="J6" s="13"/>
      <c r="K6" s="14"/>
      <c r="L6" s="36"/>
      <c r="M6" s="13"/>
      <c r="N6" s="14"/>
    </row>
    <row r="7" spans="1:14" x14ac:dyDescent="0.2">
      <c r="A7" t="s">
        <v>25</v>
      </c>
      <c r="E7" s="8">
        <v>0</v>
      </c>
      <c r="H7" s="8">
        <v>0</v>
      </c>
      <c r="J7" s="5"/>
      <c r="K7" s="8">
        <v>0</v>
      </c>
      <c r="L7" s="7"/>
      <c r="M7" s="5"/>
      <c r="N7" s="8">
        <v>0</v>
      </c>
    </row>
    <row r="8" spans="1:14" x14ac:dyDescent="0.2">
      <c r="E8" s="8"/>
      <c r="H8" s="8"/>
      <c r="J8" s="5"/>
      <c r="K8" s="8"/>
      <c r="L8" s="7"/>
      <c r="M8" s="5"/>
      <c r="N8" s="8"/>
    </row>
    <row r="9" spans="1:14" s="12" customFormat="1" ht="19.5" customHeight="1" x14ac:dyDescent="0.2">
      <c r="A9" s="11" t="s">
        <v>24</v>
      </c>
      <c r="D9" s="68"/>
      <c r="E9" s="14"/>
      <c r="G9" s="68"/>
      <c r="H9" s="14"/>
      <c r="J9" s="13"/>
      <c r="K9" s="14"/>
      <c r="L9" s="36"/>
      <c r="M9" s="13"/>
      <c r="N9" s="14"/>
    </row>
    <row r="10" spans="1:14" x14ac:dyDescent="0.2">
      <c r="A10" t="s">
        <v>26</v>
      </c>
      <c r="D10" s="4">
        <f>+'kolommenbalans 2012'!C26</f>
        <v>62.07</v>
      </c>
      <c r="E10" s="15"/>
      <c r="G10" s="4">
        <f>+'overloop 2011'!C29</f>
        <v>69.2</v>
      </c>
      <c r="H10" s="15"/>
      <c r="J10" s="5">
        <v>0</v>
      </c>
      <c r="K10" s="15"/>
      <c r="L10" s="26"/>
      <c r="M10" s="5">
        <v>0</v>
      </c>
      <c r="N10" s="15"/>
    </row>
    <row r="11" spans="1:14" ht="13.5" thickBot="1" x14ac:dyDescent="0.25">
      <c r="A11" t="s">
        <v>70</v>
      </c>
      <c r="D11" s="9">
        <f>+'kolommenbalans 2012'!B26</f>
        <v>11168.810000000001</v>
      </c>
      <c r="E11" s="8"/>
      <c r="G11" s="9">
        <v>10533.65</v>
      </c>
      <c r="H11" s="8"/>
      <c r="J11" s="6">
        <v>6086.88</v>
      </c>
      <c r="K11" s="8"/>
      <c r="L11" s="7"/>
      <c r="M11" s="6">
        <v>635.5</v>
      </c>
      <c r="N11" s="8"/>
    </row>
    <row r="12" spans="1:14" ht="13.5" thickBot="1" x14ac:dyDescent="0.25">
      <c r="E12" s="16">
        <f>+D11+D10</f>
        <v>11230.880000000001</v>
      </c>
      <c r="H12" s="16">
        <f>+G11+G10</f>
        <v>10602.85</v>
      </c>
      <c r="J12" s="5"/>
      <c r="K12" s="16">
        <f>+J11+J10</f>
        <v>6086.88</v>
      </c>
      <c r="L12" s="7"/>
      <c r="M12" s="5"/>
      <c r="N12" s="16">
        <v>635.5</v>
      </c>
    </row>
    <row r="13" spans="1:14" ht="19.5" customHeight="1" x14ac:dyDescent="0.2">
      <c r="A13" s="3"/>
      <c r="C13" s="29" t="s">
        <v>55</v>
      </c>
      <c r="D13" s="30"/>
      <c r="E13" s="18">
        <f>+E12+E7</f>
        <v>11230.880000000001</v>
      </c>
      <c r="F13" s="29"/>
      <c r="G13" s="30"/>
      <c r="H13" s="18">
        <f>+H12+H7</f>
        <v>10602.85</v>
      </c>
      <c r="I13" s="29"/>
      <c r="J13" s="7"/>
      <c r="K13" s="18">
        <f>+K12+K7</f>
        <v>6086.88</v>
      </c>
      <c r="L13" s="37"/>
      <c r="M13" s="7"/>
      <c r="N13" s="18">
        <v>635.5</v>
      </c>
    </row>
    <row r="14" spans="1:14" x14ac:dyDescent="0.2">
      <c r="E14" s="8"/>
      <c r="H14" s="8"/>
      <c r="J14" s="5"/>
      <c r="K14" s="8"/>
      <c r="L14" s="7"/>
      <c r="M14" s="5"/>
      <c r="N14" s="8"/>
    </row>
    <row r="15" spans="1:14" ht="15.75" x14ac:dyDescent="0.25">
      <c r="A15" s="2" t="s">
        <v>22</v>
      </c>
      <c r="E15" s="8"/>
      <c r="H15" s="8"/>
      <c r="J15" s="5"/>
      <c r="K15" s="8"/>
      <c r="L15" s="7"/>
      <c r="M15" s="5"/>
      <c r="N15" s="8"/>
    </row>
    <row r="16" spans="1:14" ht="19.5" customHeight="1" x14ac:dyDescent="0.2">
      <c r="A16" s="11" t="s">
        <v>29</v>
      </c>
      <c r="E16" s="8"/>
      <c r="H16" s="8"/>
      <c r="J16" s="5"/>
      <c r="K16" s="8"/>
      <c r="L16" s="7"/>
      <c r="M16" s="5"/>
      <c r="N16" s="8"/>
    </row>
    <row r="17" spans="1:17" x14ac:dyDescent="0.2">
      <c r="A17" t="s">
        <v>28</v>
      </c>
      <c r="D17" s="5">
        <f>-'kolommenbalans 2012'!D26</f>
        <v>635.5</v>
      </c>
      <c r="E17" s="8"/>
      <c r="G17" s="5">
        <v>635.5</v>
      </c>
      <c r="H17" s="8"/>
      <c r="J17" s="5">
        <f>+'winst en verlies 2009'!D30</f>
        <v>635.5</v>
      </c>
      <c r="K17" s="8"/>
      <c r="L17" s="7"/>
      <c r="M17" s="5">
        <v>635.5</v>
      </c>
      <c r="N17" s="8"/>
    </row>
    <row r="18" spans="1:17" x14ac:dyDescent="0.2">
      <c r="A18" t="s">
        <v>182</v>
      </c>
      <c r="D18" s="5">
        <f>-'kolommenbalans 2012'!E26</f>
        <v>1460</v>
      </c>
      <c r="E18" s="8"/>
      <c r="G18" s="5">
        <f>+'winst en verlies 2011'!H66</f>
        <v>3130</v>
      </c>
      <c r="H18" s="8"/>
      <c r="J18" s="5">
        <v>0</v>
      </c>
      <c r="K18" s="8"/>
      <c r="L18" s="7"/>
      <c r="M18" s="5">
        <v>0</v>
      </c>
      <c r="N18" s="8"/>
    </row>
    <row r="19" spans="1:17" ht="13.5" thickBot="1" x14ac:dyDescent="0.25">
      <c r="A19" t="s">
        <v>17</v>
      </c>
      <c r="D19" s="9">
        <f>-'kolommenbalans 2012'!F26</f>
        <v>7458.3500000000013</v>
      </c>
      <c r="E19" s="8"/>
      <c r="G19" s="9">
        <f>+J19+'winst en verlies 2011'!E26</f>
        <v>-41.450000000000728</v>
      </c>
      <c r="H19" s="8"/>
      <c r="J19" s="6">
        <f>+'winst en verlies 2011'!G29</f>
        <v>2458.5500000000002</v>
      </c>
      <c r="K19" s="8"/>
      <c r="L19" s="7"/>
      <c r="M19" s="6">
        <v>0</v>
      </c>
      <c r="N19" s="8"/>
    </row>
    <row r="20" spans="1:17" s="12" customFormat="1" ht="13.5" customHeight="1" x14ac:dyDescent="0.2">
      <c r="D20" s="68"/>
      <c r="E20" s="49">
        <f>+D19+D17+D18</f>
        <v>9553.8500000000022</v>
      </c>
      <c r="G20" s="68"/>
      <c r="H20" s="49">
        <f>+G19+G17+G18</f>
        <v>3724.0499999999993</v>
      </c>
      <c r="J20" s="13"/>
      <c r="K20" s="49">
        <f>+J19+J17</f>
        <v>3094.05</v>
      </c>
      <c r="L20" s="50"/>
      <c r="M20" s="50"/>
      <c r="N20" s="49">
        <v>635.5</v>
      </c>
    </row>
    <row r="21" spans="1:17" x14ac:dyDescent="0.2">
      <c r="E21" s="8"/>
      <c r="H21" s="8"/>
      <c r="J21" s="5"/>
      <c r="K21" s="8"/>
      <c r="L21" s="7"/>
      <c r="M21" s="5"/>
      <c r="N21" s="8"/>
    </row>
    <row r="22" spans="1:17" s="12" customFormat="1" ht="19.5" customHeight="1" thickBot="1" x14ac:dyDescent="0.25">
      <c r="A22" s="11" t="s">
        <v>30</v>
      </c>
      <c r="E22" s="16">
        <f>-'kolommenbalans 2012'!G26</f>
        <v>1677.0299999999997</v>
      </c>
      <c r="H22" s="16">
        <f>+'winst en verlies 2011'!H63</f>
        <v>6879</v>
      </c>
      <c r="J22" s="13"/>
      <c r="K22" s="51">
        <f>+'winst en verlies 2010'!H63</f>
        <v>2993.0299999999997</v>
      </c>
      <c r="L22" s="36"/>
      <c r="M22" s="13"/>
      <c r="N22" s="17">
        <v>0</v>
      </c>
    </row>
    <row r="23" spans="1:17" ht="19.5" customHeight="1" x14ac:dyDescent="0.2">
      <c r="C23" s="29" t="s">
        <v>55</v>
      </c>
      <c r="D23" s="30"/>
      <c r="E23" s="18">
        <f>+E20+E22</f>
        <v>11230.880000000001</v>
      </c>
      <c r="F23" s="29"/>
      <c r="G23" s="30"/>
      <c r="H23" s="18">
        <f>+H20+H22</f>
        <v>10603.05</v>
      </c>
      <c r="I23" s="29"/>
      <c r="J23" s="5"/>
      <c r="K23" s="18">
        <f>+K20+K22</f>
        <v>6087.08</v>
      </c>
      <c r="L23" s="37"/>
      <c r="M23" s="5"/>
      <c r="N23" s="18">
        <v>635.5</v>
      </c>
    </row>
    <row r="24" spans="1:17" ht="19.5" customHeight="1" x14ac:dyDescent="0.2">
      <c r="E24" s="18"/>
      <c r="H24" s="18"/>
      <c r="J24" s="5"/>
      <c r="K24" s="18"/>
      <c r="L24" s="37"/>
      <c r="M24" s="5"/>
      <c r="N24" s="18"/>
    </row>
    <row r="25" spans="1:17" ht="19.5" customHeight="1" x14ac:dyDescent="0.2">
      <c r="E25" s="18"/>
      <c r="H25" s="18"/>
      <c r="J25" s="5"/>
      <c r="K25" s="18"/>
      <c r="L25" s="37"/>
      <c r="M25" s="5"/>
      <c r="N25" s="18"/>
    </row>
    <row r="26" spans="1:17" x14ac:dyDescent="0.2">
      <c r="J26" s="5"/>
      <c r="K26" s="7"/>
      <c r="L26" s="7"/>
      <c r="M26" s="5"/>
      <c r="N26" s="7"/>
    </row>
    <row r="27" spans="1:17" x14ac:dyDescent="0.2">
      <c r="E27" s="52"/>
      <c r="H27" s="52"/>
    </row>
    <row r="28" spans="1:17" x14ac:dyDescent="0.2">
      <c r="A28" t="s">
        <v>31</v>
      </c>
      <c r="C28" s="70" t="s">
        <v>241</v>
      </c>
      <c r="K28" s="22"/>
      <c r="L28" s="22"/>
      <c r="N28" s="22"/>
    </row>
    <row r="29" spans="1:17" x14ac:dyDescent="0.2">
      <c r="A29" t="s">
        <v>34</v>
      </c>
      <c r="Q29" s="12"/>
    </row>
    <row r="30" spans="1:17" x14ac:dyDescent="0.2">
      <c r="A30" t="s">
        <v>33</v>
      </c>
    </row>
  </sheetData>
  <mergeCells count="8">
    <mergeCell ref="D3:E3"/>
    <mergeCell ref="D4:E4"/>
    <mergeCell ref="G3:H3"/>
    <mergeCell ref="J3:K3"/>
    <mergeCell ref="M3:N3"/>
    <mergeCell ref="G4:H4"/>
    <mergeCell ref="J4:K4"/>
    <mergeCell ref="M4:N4"/>
  </mergeCells>
  <pageMargins left="0.74803149606299213" right="0.74803149606299213" top="0.98425196850393704" bottom="0.98425196850393704" header="0.51181102362204722" footer="0.51181102362204722"/>
  <pageSetup paperSize="274" scale="97" orientation="landscape"/>
  <headerFooter alignWithMargins="0">
    <oddFooter>&amp;L&amp;F, &amp;A&amp;R&amp;D</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71"/>
  <sheetViews>
    <sheetView zoomScaleNormal="100" workbookViewId="0">
      <selection activeCell="D3" sqref="D3:L33"/>
    </sheetView>
  </sheetViews>
  <sheetFormatPr defaultColWidth="8.85546875" defaultRowHeight="12.75" x14ac:dyDescent="0.2"/>
  <cols>
    <col min="1" max="1" width="6.42578125" customWidth="1"/>
    <col min="3" max="3" width="24.140625" customWidth="1"/>
    <col min="6" max="6" width="2.42578125" customWidth="1"/>
    <col min="9" max="9" width="2.42578125" customWidth="1"/>
    <col min="11" max="11" width="10.28515625" bestFit="1" customWidth="1"/>
    <col min="12" max="12" width="2.42578125" customWidth="1"/>
    <col min="13" max="13" width="9.140625" style="5" customWidth="1"/>
    <col min="15" max="15" width="2.85546875" customWidth="1"/>
    <col min="16" max="16" width="9.140625" style="5" customWidth="1"/>
    <col min="17" max="17" width="9.140625" customWidth="1"/>
    <col min="18" max="18" width="20.42578125" customWidth="1"/>
  </cols>
  <sheetData>
    <row r="1" spans="1:17" ht="20.25" x14ac:dyDescent="0.3">
      <c r="A1" s="10" t="s">
        <v>74</v>
      </c>
    </row>
    <row r="3" spans="1:17" x14ac:dyDescent="0.2">
      <c r="D3" s="249" t="s">
        <v>230</v>
      </c>
      <c r="E3" s="265"/>
      <c r="F3" s="27"/>
      <c r="G3" s="251" t="s">
        <v>164</v>
      </c>
      <c r="H3" s="236"/>
      <c r="I3" s="27"/>
      <c r="J3" s="251" t="s">
        <v>75</v>
      </c>
      <c r="K3" s="236"/>
      <c r="L3" s="27"/>
      <c r="M3" s="250" t="s">
        <v>37</v>
      </c>
      <c r="N3" s="236"/>
      <c r="P3" s="267"/>
      <c r="Q3" s="268"/>
    </row>
    <row r="4" spans="1:17" x14ac:dyDescent="0.2">
      <c r="D4" s="232" t="s">
        <v>73</v>
      </c>
      <c r="E4" s="266"/>
      <c r="F4" s="28"/>
      <c r="G4" s="232" t="s">
        <v>73</v>
      </c>
      <c r="H4" s="231"/>
      <c r="I4" s="28"/>
      <c r="J4" s="232" t="s">
        <v>73</v>
      </c>
      <c r="K4" s="231"/>
      <c r="L4" s="28"/>
      <c r="M4" s="232" t="s">
        <v>73</v>
      </c>
      <c r="N4" s="231"/>
      <c r="P4" s="269"/>
      <c r="Q4" s="270"/>
    </row>
    <row r="5" spans="1:17" ht="15.75" x14ac:dyDescent="0.25">
      <c r="A5" s="2" t="s">
        <v>0</v>
      </c>
      <c r="D5" s="5"/>
      <c r="E5" s="8"/>
      <c r="F5" s="7"/>
      <c r="G5" s="5"/>
      <c r="H5" s="8"/>
      <c r="I5" s="7"/>
      <c r="J5" s="5"/>
      <c r="K5" s="8"/>
      <c r="L5" s="7"/>
      <c r="N5" s="8"/>
      <c r="Q5" s="7"/>
    </row>
    <row r="6" spans="1:17" x14ac:dyDescent="0.2">
      <c r="A6" t="s">
        <v>11</v>
      </c>
      <c r="E6" s="8"/>
      <c r="F6" s="7"/>
      <c r="H6" s="8"/>
      <c r="I6" s="7"/>
      <c r="K6" s="8"/>
      <c r="L6" s="7"/>
      <c r="N6" s="8"/>
      <c r="Q6" s="7"/>
    </row>
    <row r="7" spans="1:17" x14ac:dyDescent="0.2">
      <c r="A7" t="s">
        <v>1</v>
      </c>
      <c r="D7" s="5">
        <v>0</v>
      </c>
      <c r="E7" s="8"/>
      <c r="F7" s="7"/>
      <c r="G7" s="5">
        <v>0</v>
      </c>
      <c r="H7" s="8"/>
      <c r="I7" s="7"/>
      <c r="J7" s="5">
        <v>0</v>
      </c>
      <c r="K7" s="8"/>
      <c r="L7" s="7"/>
      <c r="M7" s="5">
        <v>0</v>
      </c>
      <c r="N7" s="8"/>
      <c r="Q7" s="7"/>
    </row>
    <row r="8" spans="1:17" x14ac:dyDescent="0.2">
      <c r="A8" t="s">
        <v>2</v>
      </c>
      <c r="D8" s="5">
        <v>7500</v>
      </c>
      <c r="E8" s="8"/>
      <c r="F8" s="7"/>
      <c r="G8" s="5">
        <v>7500</v>
      </c>
      <c r="H8" s="8"/>
      <c r="I8" s="7"/>
      <c r="J8" s="5">
        <v>7500</v>
      </c>
      <c r="K8" s="8"/>
      <c r="L8" s="7"/>
      <c r="M8" s="5">
        <v>7500</v>
      </c>
      <c r="N8" s="8"/>
      <c r="Q8" s="7"/>
    </row>
    <row r="9" spans="1:17" ht="13.5" thickBot="1" x14ac:dyDescent="0.25">
      <c r="A9" t="s">
        <v>57</v>
      </c>
      <c r="D9" s="6">
        <f>+H43</f>
        <v>61.81</v>
      </c>
      <c r="E9" s="8"/>
      <c r="F9" s="7"/>
      <c r="G9" s="6">
        <f>+'winst en verlies 2011'!D9</f>
        <v>69.2</v>
      </c>
      <c r="H9" s="8"/>
      <c r="I9" s="7"/>
      <c r="J9" s="6">
        <v>86.56</v>
      </c>
      <c r="K9" s="8"/>
      <c r="L9" s="7"/>
      <c r="M9" s="6">
        <f>+'meerjarenbegroting '!F8</f>
        <v>100</v>
      </c>
      <c r="N9" s="8"/>
      <c r="Q9" s="7"/>
    </row>
    <row r="10" spans="1:17" ht="19.5" customHeight="1" x14ac:dyDescent="0.2">
      <c r="A10" s="3" t="s">
        <v>3</v>
      </c>
      <c r="D10" s="7"/>
      <c r="E10" s="8">
        <f>SUM(D7:D9)</f>
        <v>7561.81</v>
      </c>
      <c r="F10" s="7"/>
      <c r="G10" s="7"/>
      <c r="H10" s="8">
        <f>SUM(G7:G9)</f>
        <v>7569.2</v>
      </c>
      <c r="I10" s="7"/>
      <c r="J10" s="7"/>
      <c r="K10" s="8">
        <v>7586.56</v>
      </c>
      <c r="L10" s="7"/>
      <c r="M10" s="7"/>
      <c r="N10" s="8">
        <f>SUM(M7:M9)</f>
        <v>7600</v>
      </c>
      <c r="P10" s="7"/>
      <c r="Q10" s="7"/>
    </row>
    <row r="11" spans="1:17" x14ac:dyDescent="0.2">
      <c r="D11" s="5"/>
      <c r="E11" s="8"/>
      <c r="F11" s="7"/>
      <c r="G11" s="5"/>
      <c r="H11" s="8"/>
      <c r="I11" s="7"/>
      <c r="J11" s="5"/>
      <c r="K11" s="8"/>
      <c r="L11" s="7"/>
      <c r="N11" s="8"/>
      <c r="Q11" s="7"/>
    </row>
    <row r="12" spans="1:17" x14ac:dyDescent="0.2">
      <c r="A12" t="s">
        <v>4</v>
      </c>
      <c r="D12" s="5">
        <v>0</v>
      </c>
      <c r="E12" s="8"/>
      <c r="F12" s="7"/>
      <c r="G12" s="5">
        <v>0</v>
      </c>
      <c r="H12" s="8"/>
      <c r="I12" s="7"/>
      <c r="J12" s="5">
        <v>0</v>
      </c>
      <c r="K12" s="8"/>
      <c r="L12" s="7"/>
      <c r="M12" s="5">
        <v>0</v>
      </c>
      <c r="N12" s="8"/>
      <c r="Q12" s="7"/>
    </row>
    <row r="13" spans="1:17" ht="13.5" thickBot="1" x14ac:dyDescent="0.25">
      <c r="A13" t="s">
        <v>5</v>
      </c>
      <c r="D13" s="6">
        <v>0</v>
      </c>
      <c r="E13" s="8"/>
      <c r="F13" s="7"/>
      <c r="G13" s="6">
        <v>0</v>
      </c>
      <c r="H13" s="8"/>
      <c r="I13" s="7"/>
      <c r="J13" s="6">
        <v>0</v>
      </c>
      <c r="K13" s="8"/>
      <c r="L13" s="7"/>
      <c r="M13" s="6">
        <v>0</v>
      </c>
      <c r="N13" s="8"/>
      <c r="Q13" s="7"/>
    </row>
    <row r="14" spans="1:17" ht="19.5" customHeight="1" x14ac:dyDescent="0.2">
      <c r="A14" s="3" t="s">
        <v>6</v>
      </c>
      <c r="D14" s="7"/>
      <c r="E14" s="8">
        <f>-SUM(D12:D13)</f>
        <v>0</v>
      </c>
      <c r="F14" s="7"/>
      <c r="G14" s="7"/>
      <c r="H14" s="8">
        <f>-SUM(G12:G13)</f>
        <v>0</v>
      </c>
      <c r="I14" s="7"/>
      <c r="J14" s="7"/>
      <c r="K14" s="8">
        <v>0</v>
      </c>
      <c r="L14" s="7"/>
      <c r="M14" s="7"/>
      <c r="N14" s="8">
        <f>-SUM(M12:M13)</f>
        <v>0</v>
      </c>
      <c r="P14" s="7"/>
      <c r="Q14" s="7"/>
    </row>
    <row r="15" spans="1:17" ht="13.5" thickBot="1" x14ac:dyDescent="0.25">
      <c r="A15" t="s">
        <v>14</v>
      </c>
      <c r="D15" s="5"/>
      <c r="E15" s="19">
        <f>+E14/E10</f>
        <v>0</v>
      </c>
      <c r="F15" s="26"/>
      <c r="G15" s="5"/>
      <c r="H15" s="19">
        <f>+H14/H10</f>
        <v>0</v>
      </c>
      <c r="I15" s="26"/>
      <c r="J15" s="5"/>
      <c r="K15" s="19">
        <v>0</v>
      </c>
      <c r="L15" s="26"/>
      <c r="N15" s="19">
        <f>+N14/N10</f>
        <v>0</v>
      </c>
      <c r="Q15" s="26"/>
    </row>
    <row r="16" spans="1:17" ht="19.5" customHeight="1" x14ac:dyDescent="0.2">
      <c r="A16" s="3" t="s">
        <v>8</v>
      </c>
      <c r="D16" s="7"/>
      <c r="E16" s="8">
        <f>+E10+E14</f>
        <v>7561.81</v>
      </c>
      <c r="F16" s="7"/>
      <c r="G16" s="7"/>
      <c r="H16" s="8">
        <f>+H10+H14</f>
        <v>7569.2</v>
      </c>
      <c r="I16" s="7"/>
      <c r="J16" s="7"/>
      <c r="K16" s="8">
        <v>7586.56</v>
      </c>
      <c r="L16" s="7"/>
      <c r="M16" s="7"/>
      <c r="N16" s="8">
        <f>+N10+N14</f>
        <v>7600</v>
      </c>
      <c r="P16" s="7"/>
      <c r="Q16" s="7"/>
    </row>
    <row r="17" spans="1:19" ht="13.5" thickBot="1" x14ac:dyDescent="0.25">
      <c r="A17" t="s">
        <v>7</v>
      </c>
      <c r="D17" s="5"/>
      <c r="E17" s="16">
        <v>0</v>
      </c>
      <c r="F17" s="7"/>
      <c r="G17" s="5"/>
      <c r="H17" s="16">
        <v>0</v>
      </c>
      <c r="I17" s="7"/>
      <c r="J17" s="5"/>
      <c r="K17" s="16">
        <v>0</v>
      </c>
      <c r="L17" s="7"/>
      <c r="N17" s="16">
        <v>0</v>
      </c>
      <c r="Q17" s="7"/>
    </row>
    <row r="18" spans="1:19" ht="19.5" customHeight="1" x14ac:dyDescent="0.2">
      <c r="A18" s="3" t="s">
        <v>9</v>
      </c>
      <c r="D18" s="7"/>
      <c r="E18" s="8">
        <f>+E17+E16</f>
        <v>7561.81</v>
      </c>
      <c r="F18" s="7"/>
      <c r="G18" s="7"/>
      <c r="H18" s="8">
        <f>+H17+H16</f>
        <v>7569.2</v>
      </c>
      <c r="I18" s="7"/>
      <c r="J18" s="7"/>
      <c r="K18" s="8">
        <v>7586.56</v>
      </c>
      <c r="L18" s="7"/>
      <c r="M18" s="7"/>
      <c r="N18" s="8">
        <f>+N17+N16</f>
        <v>7600</v>
      </c>
      <c r="P18" s="7"/>
      <c r="Q18" s="7"/>
    </row>
    <row r="19" spans="1:19" x14ac:dyDescent="0.2">
      <c r="D19" s="5"/>
      <c r="E19" s="8"/>
      <c r="F19" s="7"/>
      <c r="G19" s="5"/>
      <c r="H19" s="8"/>
      <c r="I19" s="7"/>
      <c r="J19" s="5"/>
      <c r="K19" s="8"/>
      <c r="L19" s="7"/>
      <c r="N19" s="8"/>
      <c r="Q19" s="7"/>
    </row>
    <row r="20" spans="1:19" ht="15.75" x14ac:dyDescent="0.25">
      <c r="A20" s="2" t="s">
        <v>10</v>
      </c>
      <c r="D20" s="5"/>
      <c r="E20" s="8"/>
      <c r="F20" s="7"/>
      <c r="G20" s="5"/>
      <c r="H20" s="8"/>
      <c r="I20" s="7"/>
      <c r="J20" s="5"/>
      <c r="K20" s="8"/>
      <c r="L20" s="7"/>
      <c r="N20" s="8"/>
      <c r="Q20" s="7"/>
    </row>
    <row r="21" spans="1:19" x14ac:dyDescent="0.2">
      <c r="A21" t="s">
        <v>12</v>
      </c>
      <c r="D21" s="5">
        <v>0</v>
      </c>
      <c r="E21" s="8"/>
      <c r="F21" s="7"/>
      <c r="G21" s="5">
        <v>10000</v>
      </c>
      <c r="H21" s="8"/>
      <c r="I21" s="7"/>
      <c r="J21" s="5">
        <v>5053.45</v>
      </c>
      <c r="K21" s="8"/>
      <c r="L21" s="7"/>
      <c r="M21" s="5">
        <v>7500</v>
      </c>
      <c r="N21" s="8"/>
      <c r="Q21" s="7"/>
    </row>
    <row r="22" spans="1:19" ht="13.5" thickBot="1" x14ac:dyDescent="0.25">
      <c r="A22" t="s">
        <v>5</v>
      </c>
      <c r="D22" s="6">
        <f>+H53</f>
        <v>61.81</v>
      </c>
      <c r="E22" s="8"/>
      <c r="F22" s="7"/>
      <c r="G22" s="6">
        <f>+G9</f>
        <v>69.2</v>
      </c>
      <c r="H22" s="8"/>
      <c r="I22" s="7"/>
      <c r="J22" s="6">
        <v>74.56</v>
      </c>
      <c r="K22" s="8"/>
      <c r="L22" s="7"/>
      <c r="M22" s="6">
        <f>+'meerjarenbegroting '!F21</f>
        <v>100</v>
      </c>
      <c r="N22" s="8"/>
      <c r="Q22" s="7"/>
      <c r="S22" s="52"/>
    </row>
    <row r="23" spans="1:19" x14ac:dyDescent="0.2">
      <c r="D23" s="5"/>
      <c r="E23" s="8"/>
      <c r="F23" s="7"/>
      <c r="G23" s="5"/>
      <c r="H23" s="8"/>
      <c r="I23" s="7"/>
      <c r="J23" s="5"/>
      <c r="K23" s="8"/>
      <c r="L23" s="7"/>
      <c r="N23" s="8"/>
      <c r="Q23" s="7"/>
    </row>
    <row r="24" spans="1:19" ht="19.5" customHeight="1" x14ac:dyDescent="0.2">
      <c r="A24" s="3" t="s">
        <v>13</v>
      </c>
      <c r="D24" s="7"/>
      <c r="E24" s="8">
        <f>SUM(D20:D22)</f>
        <v>61.81</v>
      </c>
      <c r="F24" s="7"/>
      <c r="G24" s="7"/>
      <c r="H24" s="8">
        <f>SUM(G20:G22)</f>
        <v>10069.200000000001</v>
      </c>
      <c r="I24" s="7"/>
      <c r="J24" s="7"/>
      <c r="K24" s="8">
        <v>5128.01</v>
      </c>
      <c r="L24" s="7"/>
      <c r="M24" s="7"/>
      <c r="N24" s="8">
        <f>+M22+M21</f>
        <v>7600</v>
      </c>
      <c r="P24" s="7"/>
      <c r="Q24" s="7"/>
    </row>
    <row r="25" spans="1:19" x14ac:dyDescent="0.2">
      <c r="D25" s="5"/>
      <c r="E25" s="8"/>
      <c r="F25" s="7"/>
      <c r="G25" s="5"/>
      <c r="H25" s="8"/>
      <c r="I25" s="7"/>
      <c r="J25" s="5"/>
      <c r="K25" s="8"/>
      <c r="L25" s="7"/>
      <c r="N25" s="8"/>
      <c r="Q25" s="7"/>
      <c r="R25" s="52"/>
    </row>
    <row r="26" spans="1:19" ht="19.5" customHeight="1" x14ac:dyDescent="0.2">
      <c r="A26" s="1" t="s">
        <v>15</v>
      </c>
      <c r="D26" s="7"/>
      <c r="E26" s="8">
        <f>+E18-E24</f>
        <v>7500</v>
      </c>
      <c r="F26" s="7"/>
      <c r="G26" s="7"/>
      <c r="H26" s="8">
        <f>+H18-H24</f>
        <v>-2500.0000000000009</v>
      </c>
      <c r="I26" s="7"/>
      <c r="J26" s="7"/>
      <c r="K26" s="8">
        <v>2458.5500000000002</v>
      </c>
      <c r="L26" s="7"/>
      <c r="M26" s="7"/>
      <c r="N26" s="8">
        <f>+N18-N24</f>
        <v>0</v>
      </c>
      <c r="P26" s="7"/>
      <c r="Q26" s="7"/>
    </row>
    <row r="27" spans="1:19" x14ac:dyDescent="0.2">
      <c r="D27" s="5"/>
      <c r="E27" s="7"/>
      <c r="F27" s="7"/>
      <c r="G27" s="5"/>
      <c r="H27" s="7"/>
      <c r="I27" s="7"/>
      <c r="J27" s="5"/>
      <c r="K27" s="7"/>
      <c r="L27" s="7"/>
      <c r="N27" s="7"/>
      <c r="Q27" s="7"/>
    </row>
    <row r="28" spans="1:19" x14ac:dyDescent="0.2">
      <c r="A28" s="20" t="s">
        <v>16</v>
      </c>
      <c r="D28" s="5"/>
      <c r="E28" s="7"/>
      <c r="F28" s="7"/>
      <c r="G28" s="5"/>
      <c r="H28" s="7"/>
      <c r="I28" s="7"/>
      <c r="J28" s="5"/>
      <c r="K28" s="7"/>
      <c r="L28" s="7"/>
      <c r="N28" s="7"/>
      <c r="Q28" s="7"/>
    </row>
    <row r="29" spans="1:19" x14ac:dyDescent="0.2">
      <c r="A29" t="s">
        <v>17</v>
      </c>
      <c r="D29" s="5">
        <v>7500</v>
      </c>
      <c r="E29" s="8"/>
      <c r="F29" s="7"/>
      <c r="G29" s="5">
        <v>630</v>
      </c>
      <c r="H29" s="8"/>
      <c r="I29" s="7"/>
      <c r="J29" s="5">
        <v>2458.5500000000002</v>
      </c>
      <c r="K29" s="8"/>
      <c r="L29" s="7"/>
      <c r="M29" s="5">
        <v>0</v>
      </c>
      <c r="N29" s="8"/>
      <c r="Q29" s="7"/>
    </row>
    <row r="30" spans="1:19" x14ac:dyDescent="0.2">
      <c r="A30" t="s">
        <v>181</v>
      </c>
      <c r="D30" s="5">
        <v>0</v>
      </c>
      <c r="E30" s="8"/>
      <c r="F30" s="7"/>
      <c r="G30" s="5">
        <v>-3130</v>
      </c>
      <c r="H30" s="8"/>
      <c r="I30" s="7"/>
      <c r="J30" s="5"/>
      <c r="K30" s="8"/>
      <c r="L30" s="7"/>
      <c r="N30" s="8"/>
      <c r="Q30" s="7"/>
    </row>
    <row r="31" spans="1:19" ht="13.5" thickBot="1" x14ac:dyDescent="0.25">
      <c r="A31" t="s">
        <v>28</v>
      </c>
      <c r="D31" s="6">
        <v>0</v>
      </c>
      <c r="E31" s="8"/>
      <c r="F31" s="7"/>
      <c r="G31" s="6">
        <v>0</v>
      </c>
      <c r="H31" s="8"/>
      <c r="I31" s="7"/>
      <c r="J31" s="9">
        <v>0</v>
      </c>
      <c r="K31" s="8"/>
      <c r="L31" s="7"/>
      <c r="M31" s="6">
        <f>+N26</f>
        <v>0</v>
      </c>
      <c r="N31" s="8"/>
      <c r="Q31" s="7"/>
    </row>
    <row r="32" spans="1:19" ht="19.5" customHeight="1" x14ac:dyDescent="0.2">
      <c r="A32" s="3"/>
      <c r="D32" s="7"/>
      <c r="E32" s="8">
        <f>+D29+D31+D30</f>
        <v>7500</v>
      </c>
      <c r="F32" s="7"/>
      <c r="G32" s="7"/>
      <c r="H32" s="8">
        <f>+G29+G31+G30</f>
        <v>-2500</v>
      </c>
      <c r="I32" s="7"/>
      <c r="J32" s="7"/>
      <c r="K32" s="8">
        <v>2458.5500000000002</v>
      </c>
      <c r="L32" s="7"/>
      <c r="M32" s="7"/>
      <c r="N32" s="8">
        <f>+M31+M29</f>
        <v>0</v>
      </c>
      <c r="P32" s="7"/>
      <c r="Q32" s="7"/>
    </row>
    <row r="33" spans="1:19" ht="19.5" customHeight="1" x14ac:dyDescent="0.2">
      <c r="A33" s="3"/>
      <c r="D33" s="7"/>
      <c r="E33" s="8"/>
      <c r="F33" s="7"/>
      <c r="G33" s="7"/>
      <c r="H33" s="8"/>
      <c r="I33" s="7"/>
      <c r="J33" s="7"/>
      <c r="K33" s="8"/>
      <c r="L33" s="7"/>
      <c r="M33" s="7"/>
      <c r="N33" s="8"/>
      <c r="P33" s="7"/>
      <c r="Q33" s="7"/>
    </row>
    <row r="34" spans="1:19" ht="19.5" customHeight="1" x14ac:dyDescent="0.2">
      <c r="A34" s="3"/>
      <c r="F34" s="7"/>
      <c r="I34" s="7"/>
      <c r="L34" s="7"/>
      <c r="M34" s="7"/>
      <c r="N34" s="7"/>
      <c r="P34" s="7"/>
      <c r="Q34" s="7"/>
    </row>
    <row r="35" spans="1:19" x14ac:dyDescent="0.2">
      <c r="A35" t="s">
        <v>43</v>
      </c>
    </row>
    <row r="36" spans="1:19" x14ac:dyDescent="0.2">
      <c r="A36" t="s">
        <v>47</v>
      </c>
    </row>
    <row r="37" spans="1:19" x14ac:dyDescent="0.2">
      <c r="B37" t="s">
        <v>44</v>
      </c>
    </row>
    <row r="38" spans="1:19" x14ac:dyDescent="0.2">
      <c r="B38" t="s">
        <v>45</v>
      </c>
    </row>
    <row r="40" spans="1:19" x14ac:dyDescent="0.2">
      <c r="B40" t="s">
        <v>107</v>
      </c>
    </row>
    <row r="41" spans="1:19" x14ac:dyDescent="0.2">
      <c r="B41" s="70" t="s">
        <v>231</v>
      </c>
      <c r="G41" s="23" t="s">
        <v>53</v>
      </c>
      <c r="H41" s="47">
        <f>-'kolommenbalans 2012'!J9-'kolommenbalans 2012'!J10-'kolommenbalans 2012'!J11+'kolommenbalans 2012'!J18</f>
        <v>37.730000000000004</v>
      </c>
    </row>
    <row r="42" spans="1:19" ht="15" x14ac:dyDescent="0.35">
      <c r="B42" s="70" t="s">
        <v>232</v>
      </c>
      <c r="G42" s="23" t="s">
        <v>53</v>
      </c>
      <c r="H42" s="48">
        <f>-'kolommenbalans 2012'!J8</f>
        <v>24.08</v>
      </c>
    </row>
    <row r="43" spans="1:19" x14ac:dyDescent="0.2">
      <c r="G43" s="23" t="s">
        <v>53</v>
      </c>
      <c r="H43" s="47">
        <f>SUM(H41:H42)</f>
        <v>61.81</v>
      </c>
    </row>
    <row r="44" spans="1:19" x14ac:dyDescent="0.2">
      <c r="J44" s="5"/>
    </row>
    <row r="45" spans="1:19" x14ac:dyDescent="0.2">
      <c r="A45" t="s">
        <v>46</v>
      </c>
      <c r="J45" s="5"/>
    </row>
    <row r="46" spans="1:19" x14ac:dyDescent="0.2">
      <c r="B46" s="70" t="s">
        <v>233</v>
      </c>
      <c r="J46" s="5"/>
      <c r="K46" s="44"/>
    </row>
    <row r="47" spans="1:19" x14ac:dyDescent="0.2">
      <c r="B47" s="70" t="s">
        <v>242</v>
      </c>
      <c r="J47" s="23"/>
      <c r="K47" s="44"/>
    </row>
    <row r="48" spans="1:19" s="5" customFormat="1" x14ac:dyDescent="0.2">
      <c r="A48"/>
      <c r="B48" t="s">
        <v>243</v>
      </c>
      <c r="C48"/>
      <c r="D48"/>
      <c r="E48"/>
      <c r="F48"/>
      <c r="G48"/>
      <c r="H48"/>
      <c r="I48"/>
      <c r="J48" s="23"/>
      <c r="K48" s="44"/>
      <c r="L48"/>
      <c r="N48"/>
      <c r="O48"/>
      <c r="Q48"/>
      <c r="R48"/>
      <c r="S48"/>
    </row>
    <row r="49" spans="1:19" s="5" customFormat="1" x14ac:dyDescent="0.2">
      <c r="A49"/>
      <c r="B49"/>
      <c r="C49"/>
      <c r="D49"/>
      <c r="E49"/>
      <c r="F49"/>
      <c r="G49"/>
      <c r="H49"/>
      <c r="I49"/>
      <c r="K49" s="44"/>
      <c r="L49"/>
      <c r="N49"/>
      <c r="O49"/>
      <c r="Q49"/>
      <c r="R49"/>
      <c r="S49"/>
    </row>
    <row r="50" spans="1:19" s="5" customFormat="1" x14ac:dyDescent="0.2">
      <c r="A50" t="s">
        <v>173</v>
      </c>
      <c r="B50"/>
      <c r="C50"/>
      <c r="D50"/>
      <c r="E50"/>
      <c r="F50"/>
      <c r="G50"/>
      <c r="H50"/>
      <c r="I50"/>
      <c r="K50" s="44"/>
      <c r="L50"/>
      <c r="N50"/>
      <c r="O50"/>
      <c r="Q50"/>
      <c r="R50"/>
      <c r="S50"/>
    </row>
    <row r="51" spans="1:19" s="5" customFormat="1" x14ac:dyDescent="0.2">
      <c r="A51"/>
      <c r="B51" t="s">
        <v>71</v>
      </c>
      <c r="C51"/>
      <c r="D51"/>
      <c r="E51"/>
      <c r="F51"/>
      <c r="G51" s="23" t="s">
        <v>53</v>
      </c>
      <c r="H51" s="44">
        <f>+H41</f>
        <v>37.730000000000004</v>
      </c>
      <c r="I51"/>
      <c r="L51"/>
      <c r="N51"/>
      <c r="O51"/>
      <c r="Q51"/>
      <c r="R51"/>
      <c r="S51"/>
    </row>
    <row r="52" spans="1:19" s="5" customFormat="1" x14ac:dyDescent="0.2">
      <c r="A52"/>
      <c r="B52" t="s">
        <v>87</v>
      </c>
      <c r="C52"/>
      <c r="D52"/>
      <c r="E52"/>
      <c r="F52"/>
      <c r="G52" s="23" t="s">
        <v>53</v>
      </c>
      <c r="H52" s="46">
        <f>+H42</f>
        <v>24.08</v>
      </c>
      <c r="I52"/>
      <c r="L52"/>
      <c r="N52"/>
      <c r="O52"/>
      <c r="Q52"/>
      <c r="R52"/>
      <c r="S52"/>
    </row>
    <row r="53" spans="1:19" s="5" customFormat="1" x14ac:dyDescent="0.2">
      <c r="A53"/>
      <c r="B53"/>
      <c r="C53"/>
      <c r="D53"/>
      <c r="E53"/>
      <c r="F53"/>
      <c r="G53" s="23" t="s">
        <v>53</v>
      </c>
      <c r="H53" s="44">
        <f>+H52+H51</f>
        <v>61.81</v>
      </c>
      <c r="I53"/>
      <c r="L53"/>
      <c r="N53"/>
      <c r="O53"/>
      <c r="Q53"/>
      <c r="R53"/>
      <c r="S53"/>
    </row>
    <row r="54" spans="1:19" s="5" customFormat="1" x14ac:dyDescent="0.2">
      <c r="A54"/>
      <c r="B54"/>
      <c r="C54"/>
      <c r="D54"/>
      <c r="E54"/>
      <c r="F54"/>
      <c r="G54"/>
      <c r="H54"/>
      <c r="I54"/>
      <c r="J54" s="23"/>
      <c r="K54" s="44"/>
      <c r="L54"/>
      <c r="N54"/>
      <c r="O54"/>
      <c r="Q54"/>
      <c r="R54"/>
      <c r="S54"/>
    </row>
    <row r="55" spans="1:19" s="5" customFormat="1" x14ac:dyDescent="0.2">
      <c r="A55" s="70" t="s">
        <v>234</v>
      </c>
      <c r="B55"/>
      <c r="C55"/>
      <c r="D55"/>
      <c r="E55"/>
      <c r="F55"/>
      <c r="G55"/>
      <c r="H55"/>
      <c r="I55"/>
      <c r="J55" s="23"/>
      <c r="K55" s="44"/>
      <c r="L55"/>
      <c r="N55"/>
      <c r="O55"/>
      <c r="Q55"/>
      <c r="R55"/>
      <c r="S55"/>
    </row>
    <row r="56" spans="1:19" s="5" customFormat="1" x14ac:dyDescent="0.2">
      <c r="A56"/>
      <c r="B56" s="70" t="s">
        <v>236</v>
      </c>
      <c r="C56" s="24"/>
      <c r="D56"/>
      <c r="E56"/>
      <c r="F56"/>
      <c r="G56" s="23" t="s">
        <v>53</v>
      </c>
      <c r="H56" s="72">
        <f>+'overloop 2012'!C21</f>
        <v>7.03</v>
      </c>
      <c r="I56"/>
      <c r="J56" s="23"/>
      <c r="K56" s="44"/>
      <c r="L56"/>
      <c r="N56"/>
      <c r="O56"/>
      <c r="Q56"/>
      <c r="R56"/>
      <c r="S56"/>
    </row>
    <row r="57" spans="1:19" s="5" customFormat="1" x14ac:dyDescent="0.2">
      <c r="A57"/>
      <c r="B57" s="70" t="s">
        <v>237</v>
      </c>
      <c r="C57" s="24"/>
      <c r="D57"/>
      <c r="E57"/>
      <c r="F57"/>
      <c r="G57" s="23" t="s">
        <v>53</v>
      </c>
      <c r="H57" s="72">
        <v>1670</v>
      </c>
      <c r="I57"/>
      <c r="J57" s="23"/>
      <c r="K57" s="44"/>
      <c r="L57"/>
      <c r="N57"/>
      <c r="O57"/>
      <c r="Q57"/>
      <c r="R57"/>
      <c r="S57"/>
    </row>
    <row r="58" spans="1:19" s="5" customFormat="1" x14ac:dyDescent="0.2">
      <c r="A58"/>
      <c r="B58"/>
      <c r="C58" s="24"/>
      <c r="D58"/>
      <c r="E58"/>
      <c r="F58"/>
      <c r="G58"/>
      <c r="H58"/>
      <c r="I58"/>
      <c r="J58" s="23"/>
      <c r="K58" s="44"/>
      <c r="L58"/>
      <c r="N58"/>
      <c r="O58"/>
      <c r="Q58"/>
      <c r="R58"/>
      <c r="S58"/>
    </row>
    <row r="59" spans="1:19" x14ac:dyDescent="0.2">
      <c r="A59" s="70" t="s">
        <v>235</v>
      </c>
      <c r="C59" s="24"/>
      <c r="J59" s="23"/>
      <c r="K59" s="44"/>
    </row>
    <row r="60" spans="1:19" x14ac:dyDescent="0.2">
      <c r="B60" t="s">
        <v>179</v>
      </c>
      <c r="G60" s="23" t="s">
        <v>53</v>
      </c>
      <c r="H60" s="44">
        <v>1460</v>
      </c>
    </row>
    <row r="61" spans="1:19" x14ac:dyDescent="0.2">
      <c r="C61" s="24"/>
    </row>
    <row r="62" spans="1:19" x14ac:dyDescent="0.2">
      <c r="C62" s="24"/>
    </row>
    <row r="71" spans="1:1" x14ac:dyDescent="0.2">
      <c r="A71" s="21"/>
    </row>
  </sheetData>
  <mergeCells count="10">
    <mergeCell ref="P3:Q3"/>
    <mergeCell ref="G4:H4"/>
    <mergeCell ref="J4:K4"/>
    <mergeCell ref="M4:N4"/>
    <mergeCell ref="P4:Q4"/>
    <mergeCell ref="D3:E3"/>
    <mergeCell ref="D4:E4"/>
    <mergeCell ref="G3:H3"/>
    <mergeCell ref="J3:K3"/>
    <mergeCell ref="M3:N3"/>
  </mergeCells>
  <pageMargins left="0.74803149606299213" right="0.74803149606299213" top="0.98425196850393704" bottom="0.78740157480314965" header="0.51181102362204722" footer="0.51181102362204722"/>
  <pageSetup paperSize="274" scale="70" orientation="portrait"/>
  <headerFooter alignWithMargins="0">
    <oddFooter>&amp;L&amp;F, &amp;A&amp;R&amp;D</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26"/>
  <sheetViews>
    <sheetView workbookViewId="0">
      <selection activeCell="C40" sqref="C40"/>
    </sheetView>
  </sheetViews>
  <sheetFormatPr defaultColWidth="8.85546875" defaultRowHeight="12.75" x14ac:dyDescent="0.2"/>
  <cols>
    <col min="1" max="1" width="16.85546875" customWidth="1"/>
    <col min="2" max="2" width="10.28515625" bestFit="1" customWidth="1"/>
    <col min="3" max="4" width="9.28515625" bestFit="1" customWidth="1"/>
    <col min="5" max="5" width="9.42578125" bestFit="1" customWidth="1"/>
    <col min="6" max="6" width="9.28515625" bestFit="1" customWidth="1"/>
    <col min="7" max="7" width="10.28515625" bestFit="1" customWidth="1"/>
    <col min="8" max="10" width="9.28515625" bestFit="1" customWidth="1"/>
    <col min="11" max="11" width="4.7109375" bestFit="1" customWidth="1"/>
    <col min="12" max="12" width="5.7109375" bestFit="1" customWidth="1"/>
    <col min="13" max="13" width="9.28515625" bestFit="1" customWidth="1"/>
  </cols>
  <sheetData>
    <row r="1" spans="1:13" ht="15.75" x14ac:dyDescent="0.25">
      <c r="A1" s="42" t="s">
        <v>211</v>
      </c>
    </row>
    <row r="2" spans="1:13" ht="12" customHeight="1" x14ac:dyDescent="0.2"/>
    <row r="3" spans="1:13" s="12" customFormat="1" ht="127.5" x14ac:dyDescent="0.2">
      <c r="B3" s="69" t="s">
        <v>185</v>
      </c>
      <c r="C3" s="69" t="s">
        <v>184</v>
      </c>
      <c r="D3" s="69" t="s">
        <v>186</v>
      </c>
      <c r="E3" s="69" t="s">
        <v>202</v>
      </c>
      <c r="F3" s="69" t="s">
        <v>187</v>
      </c>
      <c r="G3" s="69" t="s">
        <v>193</v>
      </c>
      <c r="H3" s="69" t="s">
        <v>188</v>
      </c>
      <c r="I3" s="69" t="s">
        <v>189</v>
      </c>
      <c r="J3" s="69" t="s">
        <v>190</v>
      </c>
      <c r="K3" s="69" t="s">
        <v>206</v>
      </c>
    </row>
    <row r="5" spans="1:13" s="20" customFormat="1" x14ac:dyDescent="0.2">
      <c r="A5" s="20" t="s">
        <v>191</v>
      </c>
      <c r="B5" s="39">
        <f>+'kolommenbalans 2011'!C19</f>
        <v>10533.650000000001</v>
      </c>
      <c r="C5" s="39">
        <f>+'kolommenbalans 2011'!B19</f>
        <v>69.2</v>
      </c>
      <c r="D5" s="39">
        <f>+'kolommenbalans 2011'!D19</f>
        <v>-635.5</v>
      </c>
      <c r="E5" s="39">
        <f>+'kolommenbalans 2011'!E19</f>
        <v>-3130</v>
      </c>
      <c r="F5" s="39">
        <f>+'kolommenbalans 2011'!F19-'kolommenbalans 2011'!B22</f>
        <v>41.649999999997817</v>
      </c>
      <c r="G5" s="39">
        <f>+'kolommenbalans 2011'!G19</f>
        <v>-6879</v>
      </c>
      <c r="H5" s="39"/>
      <c r="I5" s="39"/>
      <c r="J5" s="39"/>
      <c r="K5" s="39"/>
      <c r="L5" s="39">
        <f>SUM(B5:K5)</f>
        <v>0</v>
      </c>
      <c r="M5" s="39">
        <f>SUM(H5:K5)</f>
        <v>0</v>
      </c>
    </row>
    <row r="6" spans="1:13" x14ac:dyDescent="0.2">
      <c r="A6" t="s">
        <v>212</v>
      </c>
      <c r="B6" s="32">
        <f t="shared" ref="B6:B12" si="0">+B5+SUM(C6:K6)</f>
        <v>5393.5900000000011</v>
      </c>
      <c r="C6" s="32">
        <v>69.2</v>
      </c>
      <c r="D6" s="32"/>
      <c r="E6" s="32"/>
      <c r="F6" s="32"/>
      <c r="G6" s="32">
        <f>-(3000+2200)-9.26</f>
        <v>-5209.26</v>
      </c>
      <c r="H6" s="32"/>
      <c r="I6" s="32"/>
      <c r="J6" s="32"/>
      <c r="K6" s="32"/>
      <c r="L6" s="39"/>
      <c r="M6" s="32"/>
    </row>
    <row r="7" spans="1:13" x14ac:dyDescent="0.2">
      <c r="A7" t="s">
        <v>213</v>
      </c>
      <c r="B7" s="32">
        <f t="shared" si="0"/>
        <v>3723.5900000000011</v>
      </c>
      <c r="C7" s="32"/>
      <c r="D7" s="32"/>
      <c r="E7" s="32"/>
      <c r="F7" s="32"/>
      <c r="G7" s="32">
        <v>-1670</v>
      </c>
      <c r="H7" s="32"/>
      <c r="I7" s="32"/>
      <c r="J7" s="32"/>
      <c r="K7" s="32"/>
      <c r="L7" s="39"/>
      <c r="M7" s="32"/>
    </row>
    <row r="8" spans="1:13" x14ac:dyDescent="0.2">
      <c r="A8" t="s">
        <v>214</v>
      </c>
      <c r="B8" s="32">
        <f t="shared" si="0"/>
        <v>3699.5100000000011</v>
      </c>
      <c r="C8" s="32"/>
      <c r="D8" s="32"/>
      <c r="E8" s="32"/>
      <c r="F8" s="32"/>
      <c r="G8" s="32"/>
      <c r="H8" s="32"/>
      <c r="I8" s="32"/>
      <c r="J8" s="32">
        <v>-24.08</v>
      </c>
      <c r="K8" s="32"/>
      <c r="L8" s="39"/>
      <c r="M8" s="32"/>
    </row>
    <row r="9" spans="1:13" x14ac:dyDescent="0.2">
      <c r="A9" t="s">
        <v>215</v>
      </c>
      <c r="B9" s="32">
        <f t="shared" si="0"/>
        <v>3689.9500000000012</v>
      </c>
      <c r="C9" s="32"/>
      <c r="D9" s="32"/>
      <c r="E9" s="32"/>
      <c r="F9" s="32"/>
      <c r="G9" s="32"/>
      <c r="H9" s="32"/>
      <c r="I9" s="32"/>
      <c r="J9" s="32">
        <v>-9.56</v>
      </c>
      <c r="K9" s="32"/>
      <c r="L9" s="39"/>
      <c r="M9" s="32"/>
    </row>
    <row r="10" spans="1:13" x14ac:dyDescent="0.2">
      <c r="A10" t="s">
        <v>216</v>
      </c>
      <c r="B10" s="32">
        <f t="shared" si="0"/>
        <v>3680.880000000001</v>
      </c>
      <c r="C10" s="32"/>
      <c r="D10" s="32"/>
      <c r="E10" s="32"/>
      <c r="F10" s="32"/>
      <c r="G10" s="32"/>
      <c r="H10" s="32"/>
      <c r="I10" s="32"/>
      <c r="J10" s="32">
        <v>-9.07</v>
      </c>
      <c r="K10" s="32"/>
      <c r="L10" s="39"/>
      <c r="M10" s="32"/>
    </row>
    <row r="11" spans="1:13" x14ac:dyDescent="0.2">
      <c r="A11" t="s">
        <v>217</v>
      </c>
      <c r="B11" s="32">
        <f t="shared" si="0"/>
        <v>3668.8100000000009</v>
      </c>
      <c r="C11" s="32"/>
      <c r="D11" s="32"/>
      <c r="E11" s="32"/>
      <c r="F11" s="32"/>
      <c r="G11" s="32"/>
      <c r="H11" s="32"/>
      <c r="I11" s="32"/>
      <c r="J11" s="32">
        <v>-12.07</v>
      </c>
      <c r="K11" s="32"/>
      <c r="L11" s="39"/>
      <c r="M11" s="32"/>
    </row>
    <row r="12" spans="1:13" x14ac:dyDescent="0.2">
      <c r="A12" t="s">
        <v>218</v>
      </c>
      <c r="B12" s="32">
        <f t="shared" si="0"/>
        <v>11168.810000000001</v>
      </c>
      <c r="C12" s="32"/>
      <c r="D12" s="32"/>
      <c r="E12" s="32"/>
      <c r="F12" s="32"/>
      <c r="G12" s="32"/>
      <c r="H12" s="32">
        <v>7500</v>
      </c>
      <c r="I12" s="32"/>
      <c r="J12" s="32"/>
      <c r="K12" s="32"/>
      <c r="L12" s="39"/>
      <c r="M12" s="32"/>
    </row>
    <row r="13" spans="1:13" x14ac:dyDescent="0.2">
      <c r="B13" s="32"/>
      <c r="C13" s="32"/>
      <c r="D13" s="32"/>
      <c r="E13" s="32"/>
      <c r="F13" s="32"/>
      <c r="G13" s="32"/>
      <c r="H13" s="32"/>
      <c r="I13" s="32"/>
      <c r="J13" s="32"/>
      <c r="K13" s="32"/>
      <c r="L13" s="32"/>
      <c r="M13" s="32"/>
    </row>
    <row r="14" spans="1:13" s="20" customFormat="1" x14ac:dyDescent="0.2">
      <c r="A14" s="20" t="s">
        <v>203</v>
      </c>
      <c r="B14" s="39">
        <f>+B12</f>
        <v>11168.810000000001</v>
      </c>
      <c r="C14" s="39">
        <f t="shared" ref="C14:K14" si="1">+C5-SUM(C6:C12)</f>
        <v>0</v>
      </c>
      <c r="D14" s="39">
        <f t="shared" si="1"/>
        <v>-635.5</v>
      </c>
      <c r="E14" s="39">
        <f t="shared" si="1"/>
        <v>-3130</v>
      </c>
      <c r="F14" s="39">
        <f t="shared" si="1"/>
        <v>41.649999999997817</v>
      </c>
      <c r="G14" s="39">
        <f t="shared" si="1"/>
        <v>0.26000000000021828</v>
      </c>
      <c r="H14" s="39">
        <f t="shared" si="1"/>
        <v>-7500</v>
      </c>
      <c r="I14" s="39">
        <f t="shared" si="1"/>
        <v>0</v>
      </c>
      <c r="J14" s="39">
        <f t="shared" si="1"/>
        <v>54.78</v>
      </c>
      <c r="K14" s="39">
        <f t="shared" si="1"/>
        <v>0</v>
      </c>
      <c r="L14" s="39">
        <f>SUM(B14:K14)</f>
        <v>-6.5369931689929217E-13</v>
      </c>
      <c r="M14" s="39"/>
    </row>
    <row r="15" spans="1:13" s="20" customFormat="1" x14ac:dyDescent="0.2">
      <c r="B15" s="39"/>
      <c r="C15" s="39"/>
      <c r="D15" s="39"/>
      <c r="E15" s="39"/>
      <c r="F15" s="39"/>
      <c r="G15" s="39"/>
      <c r="H15" s="39"/>
      <c r="I15" s="39"/>
      <c r="J15" s="39"/>
      <c r="K15" s="39"/>
      <c r="L15" s="39"/>
      <c r="M15" s="39"/>
    </row>
    <row r="16" spans="1:13" x14ac:dyDescent="0.2">
      <c r="A16" s="20" t="s">
        <v>199</v>
      </c>
      <c r="B16" s="32"/>
      <c r="C16" s="32"/>
      <c r="D16" s="32"/>
      <c r="E16" s="32"/>
      <c r="F16" s="32"/>
      <c r="G16" s="32"/>
      <c r="H16" s="32"/>
      <c r="I16" s="32"/>
      <c r="J16" s="32"/>
      <c r="K16" s="32"/>
      <c r="L16" s="32"/>
      <c r="M16" s="32"/>
    </row>
    <row r="17" spans="1:13" x14ac:dyDescent="0.2">
      <c r="A17" s="70" t="s">
        <v>219</v>
      </c>
      <c r="B17" s="32"/>
      <c r="C17" s="32">
        <f>-I17</f>
        <v>61.81</v>
      </c>
      <c r="D17" s="32"/>
      <c r="E17" s="32"/>
      <c r="F17" s="32"/>
      <c r="G17" s="32"/>
      <c r="H17" s="32"/>
      <c r="I17" s="32">
        <f>-'overloop 2012'!C29</f>
        <v>-61.81</v>
      </c>
      <c r="J17" s="32"/>
      <c r="K17" s="32"/>
      <c r="L17" s="32">
        <f>SUM(B17:K17)</f>
        <v>0</v>
      </c>
      <c r="M17" s="32"/>
    </row>
    <row r="18" spans="1:13" x14ac:dyDescent="0.2">
      <c r="A18" s="70" t="s">
        <v>226</v>
      </c>
      <c r="B18" s="32"/>
      <c r="C18" s="32"/>
      <c r="D18" s="32"/>
      <c r="E18" s="32"/>
      <c r="F18" s="32"/>
      <c r="G18" s="32">
        <f>-J18</f>
        <v>-7.03</v>
      </c>
      <c r="H18" s="32"/>
      <c r="I18" s="32"/>
      <c r="J18" s="32">
        <v>7.03</v>
      </c>
      <c r="K18" s="32"/>
      <c r="L18" s="32">
        <f>SUM(B18:K18)</f>
        <v>0</v>
      </c>
      <c r="M18" s="32"/>
    </row>
    <row r="19" spans="1:13" x14ac:dyDescent="0.2">
      <c r="A19" s="70" t="s">
        <v>227</v>
      </c>
      <c r="B19" s="32"/>
      <c r="C19" s="32">
        <v>0.26</v>
      </c>
      <c r="D19" s="32"/>
      <c r="E19" s="32"/>
      <c r="F19" s="32"/>
      <c r="G19" s="32">
        <v>-0.26</v>
      </c>
      <c r="H19" s="32"/>
      <c r="I19" s="32"/>
      <c r="J19" s="32"/>
      <c r="K19" s="32"/>
      <c r="L19" s="32">
        <f>SUM(B19:K19)</f>
        <v>0</v>
      </c>
      <c r="M19" s="32"/>
    </row>
    <row r="20" spans="1:13" x14ac:dyDescent="0.2">
      <c r="A20" s="70" t="s">
        <v>238</v>
      </c>
      <c r="B20" s="32"/>
      <c r="C20" s="32"/>
      <c r="D20" s="32"/>
      <c r="E20" s="32">
        <v>1670</v>
      </c>
      <c r="F20" s="32"/>
      <c r="G20" s="32">
        <v>-1670</v>
      </c>
      <c r="H20" s="32"/>
      <c r="I20" s="32"/>
      <c r="J20" s="32"/>
      <c r="K20" s="32"/>
      <c r="L20" s="32"/>
      <c r="M20" s="32"/>
    </row>
    <row r="21" spans="1:13" x14ac:dyDescent="0.2">
      <c r="B21" s="32"/>
      <c r="C21" s="32"/>
      <c r="D21" s="32"/>
      <c r="E21" s="32"/>
      <c r="F21" s="32"/>
      <c r="G21" s="32"/>
      <c r="H21" s="32"/>
      <c r="I21" s="32"/>
      <c r="J21" s="32"/>
      <c r="K21" s="32"/>
      <c r="L21" s="32"/>
      <c r="M21" s="32"/>
    </row>
    <row r="22" spans="1:13" s="20" customFormat="1" x14ac:dyDescent="0.2">
      <c r="A22" s="20" t="s">
        <v>194</v>
      </c>
      <c r="B22" s="39">
        <f t="shared" ref="B22:K22" si="2">+SUM(B14:B21)</f>
        <v>11168.810000000001</v>
      </c>
      <c r="C22" s="39">
        <f t="shared" si="2"/>
        <v>62.07</v>
      </c>
      <c r="D22" s="39">
        <f t="shared" si="2"/>
        <v>-635.5</v>
      </c>
      <c r="E22" s="39">
        <f t="shared" si="2"/>
        <v>-1460</v>
      </c>
      <c r="F22" s="39">
        <f t="shared" si="2"/>
        <v>41.649999999997817</v>
      </c>
      <c r="G22" s="39">
        <f t="shared" si="2"/>
        <v>-1677.0299999999997</v>
      </c>
      <c r="H22" s="39">
        <f t="shared" si="2"/>
        <v>-7500</v>
      </c>
      <c r="I22" s="39">
        <f t="shared" si="2"/>
        <v>-61.81</v>
      </c>
      <c r="J22" s="39">
        <f t="shared" si="2"/>
        <v>61.81</v>
      </c>
      <c r="K22" s="39">
        <f t="shared" si="2"/>
        <v>0</v>
      </c>
      <c r="L22" s="39">
        <f>SUM(B22:K22)</f>
        <v>-9.0949470177292824E-13</v>
      </c>
      <c r="M22" s="39"/>
    </row>
    <row r="23" spans="1:13" x14ac:dyDescent="0.2">
      <c r="B23" s="32"/>
      <c r="C23" s="32"/>
      <c r="D23" s="32"/>
      <c r="E23" s="32"/>
      <c r="F23" s="32"/>
      <c r="G23" s="32"/>
      <c r="H23" s="32"/>
      <c r="I23" s="32"/>
      <c r="J23" s="32"/>
      <c r="K23" s="32"/>
      <c r="L23" s="32"/>
      <c r="M23" s="32"/>
    </row>
    <row r="24" spans="1:13" s="20" customFormat="1" x14ac:dyDescent="0.2">
      <c r="A24" s="20" t="s">
        <v>239</v>
      </c>
      <c r="B24" s="39"/>
      <c r="D24" s="39"/>
      <c r="E24" s="39"/>
      <c r="F24" s="39">
        <f>-SUM(B22:G22)</f>
        <v>-7499.9999999999991</v>
      </c>
      <c r="G24" s="39"/>
      <c r="H24" s="39">
        <f>-SUM(H22:K22)</f>
        <v>7500</v>
      </c>
      <c r="I24" s="39"/>
      <c r="J24" s="39"/>
      <c r="K24" s="39"/>
      <c r="L24" s="39">
        <f>SUM(B24:K24)</f>
        <v>0</v>
      </c>
      <c r="M24" s="39"/>
    </row>
    <row r="25" spans="1:13" x14ac:dyDescent="0.2">
      <c r="B25" s="32"/>
      <c r="C25" s="32"/>
      <c r="D25" s="32"/>
      <c r="E25" s="32"/>
      <c r="F25" s="32"/>
      <c r="G25" s="32"/>
      <c r="H25" s="32"/>
      <c r="I25" s="32"/>
      <c r="J25" s="32"/>
      <c r="K25" s="32"/>
      <c r="L25" s="32"/>
      <c r="M25" s="32"/>
    </row>
    <row r="26" spans="1:13" s="20" customFormat="1" x14ac:dyDescent="0.2">
      <c r="A26" s="20" t="s">
        <v>240</v>
      </c>
      <c r="B26" s="39">
        <f t="shared" ref="B26:G26" si="3">+B22+B24</f>
        <v>11168.810000000001</v>
      </c>
      <c r="C26" s="39">
        <f t="shared" si="3"/>
        <v>62.07</v>
      </c>
      <c r="D26" s="39">
        <f t="shared" si="3"/>
        <v>-635.5</v>
      </c>
      <c r="E26" s="39">
        <f t="shared" si="3"/>
        <v>-1460</v>
      </c>
      <c r="F26" s="39">
        <f t="shared" si="3"/>
        <v>-7458.3500000000013</v>
      </c>
      <c r="G26" s="39">
        <f t="shared" si="3"/>
        <v>-1677.0299999999997</v>
      </c>
      <c r="H26" s="39"/>
      <c r="I26" s="39"/>
      <c r="J26" s="39"/>
      <c r="K26" s="39"/>
      <c r="L26" s="39">
        <f>SUM(B26:K26)</f>
        <v>0</v>
      </c>
      <c r="M26" s="39"/>
    </row>
  </sheetData>
  <pageMargins left="0.75" right="0.75" top="1" bottom="1" header="0.5" footer="0.5"/>
  <pageSetup paperSize="274" orientation="landscape"/>
  <headerFooter alignWithMargins="0">
    <oddFooter>&amp;L&amp;F,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CE87-4F6F-4039-B589-980741AF1FAD}">
  <sheetPr>
    <pageSetUpPr fitToPage="1"/>
  </sheetPr>
  <dimension ref="A1:CC60"/>
  <sheetViews>
    <sheetView topLeftCell="A3" zoomScale="106" workbookViewId="0">
      <selection activeCell="K40" sqref="K40"/>
    </sheetView>
  </sheetViews>
  <sheetFormatPr defaultColWidth="8.85546875" defaultRowHeight="12.75" x14ac:dyDescent="0.2"/>
  <cols>
    <col min="1" max="1" width="47" bestFit="1" customWidth="1"/>
    <col min="2" max="2" width="10.85546875" bestFit="1" customWidth="1"/>
    <col min="3" max="4" width="9.85546875" bestFit="1" customWidth="1"/>
    <col min="5" max="5" width="10.85546875" bestFit="1" customWidth="1"/>
    <col min="6" max="6" width="12.5703125" style="32" customWidth="1"/>
    <col min="7" max="7" width="4.5703125" style="84" customWidth="1"/>
    <col min="8" max="8" width="9.85546875" bestFit="1" customWidth="1"/>
    <col min="9" max="9" width="7.140625" bestFit="1" customWidth="1"/>
    <col min="10" max="10" width="1.140625" style="84" customWidth="1"/>
    <col min="11" max="12" width="9.85546875" style="32" bestFit="1" customWidth="1"/>
    <col min="13" max="13" width="6" bestFit="1" customWidth="1"/>
    <col min="14" max="14" width="6.140625" bestFit="1" customWidth="1"/>
    <col min="15" max="15" width="23.140625" style="99" bestFit="1" customWidth="1"/>
    <col min="16" max="16" width="1.140625" style="99" customWidth="1"/>
    <col min="17" max="17" width="11.140625" bestFit="1" customWidth="1"/>
  </cols>
  <sheetData>
    <row r="1" spans="1:17" ht="15.75" x14ac:dyDescent="0.25">
      <c r="A1" s="42" t="s">
        <v>774</v>
      </c>
      <c r="B1" s="157"/>
    </row>
    <row r="2" spans="1:17" ht="12" customHeight="1" x14ac:dyDescent="0.2"/>
    <row r="3" spans="1:17" s="12" customFormat="1" ht="132.75" customHeight="1" x14ac:dyDescent="0.2">
      <c r="B3" s="69" t="s">
        <v>291</v>
      </c>
      <c r="C3" s="69" t="s">
        <v>292</v>
      </c>
      <c r="D3" s="90" t="s">
        <v>372</v>
      </c>
      <c r="E3" s="90" t="s">
        <v>633</v>
      </c>
      <c r="F3" s="118" t="s">
        <v>202</v>
      </c>
      <c r="G3" s="102"/>
      <c r="H3" s="69" t="s">
        <v>392</v>
      </c>
      <c r="I3" s="69" t="s">
        <v>302</v>
      </c>
      <c r="J3" s="102"/>
      <c r="K3" s="118" t="s">
        <v>190</v>
      </c>
      <c r="L3" s="118" t="s">
        <v>782</v>
      </c>
      <c r="M3" s="90" t="s">
        <v>447</v>
      </c>
      <c r="O3" s="152"/>
      <c r="P3" s="152"/>
      <c r="Q3" s="222"/>
    </row>
    <row r="5" spans="1:17" s="20" customFormat="1" x14ac:dyDescent="0.2">
      <c r="A5" s="20" t="s">
        <v>191</v>
      </c>
      <c r="B5" s="39">
        <f>+'kolommenbalans 2023'!B48</f>
        <v>5794.8099999999959</v>
      </c>
      <c r="C5" s="39">
        <f>+'kolommenbalans 2023'!C48</f>
        <v>1688.3799999999947</v>
      </c>
      <c r="D5" s="39">
        <f>+'kolommenbalans 2023'!D48</f>
        <v>168.52999999999994</v>
      </c>
      <c r="E5" s="39">
        <f>-'kolommenbalans 2023'!E48</f>
        <v>-4051.37</v>
      </c>
      <c r="F5" s="39">
        <f>+'kolommenbalans 2023'!F48</f>
        <v>-3600</v>
      </c>
      <c r="G5" s="83"/>
      <c r="H5" s="39"/>
      <c r="I5" s="39"/>
      <c r="J5" s="83"/>
      <c r="K5" s="39"/>
      <c r="L5" s="39"/>
      <c r="M5" s="39"/>
      <c r="N5" s="39">
        <f>SUM(B5:F5)-SUM(H5:I5)+SUM(K5:M5)</f>
        <v>0.34999999999035936</v>
      </c>
      <c r="O5" s="153">
        <f>SUM(I5:K5)</f>
        <v>0</v>
      </c>
      <c r="P5" s="154"/>
    </row>
    <row r="6" spans="1:17" s="147" customFormat="1" x14ac:dyDescent="0.2">
      <c r="A6" s="158">
        <v>45292</v>
      </c>
      <c r="B6" s="146">
        <v>-100</v>
      </c>
      <c r="C6" s="146">
        <v>2.15</v>
      </c>
      <c r="D6" s="146"/>
      <c r="E6" s="146"/>
      <c r="F6" s="146">
        <f>-B6</f>
        <v>100</v>
      </c>
      <c r="G6" s="159"/>
      <c r="H6" s="146"/>
      <c r="I6" s="146">
        <f>-C6</f>
        <v>-2.15</v>
      </c>
      <c r="J6" s="159"/>
      <c r="M6" s="146">
        <f>-+L6</f>
        <v>0</v>
      </c>
      <c r="N6" s="39">
        <f>+B6+F6+C6+I6</f>
        <v>0</v>
      </c>
      <c r="O6" s="155" t="s">
        <v>757</v>
      </c>
      <c r="P6" s="99"/>
    </row>
    <row r="7" spans="1:17" s="20" customFormat="1" x14ac:dyDescent="0.2">
      <c r="A7" s="158">
        <v>45295</v>
      </c>
      <c r="B7" s="146">
        <v>-69.7</v>
      </c>
      <c r="C7" s="39"/>
      <c r="D7" s="39"/>
      <c r="E7" s="39"/>
      <c r="F7" s="146"/>
      <c r="G7" s="83"/>
      <c r="H7" s="39"/>
      <c r="I7" s="39"/>
      <c r="J7" s="83"/>
      <c r="K7" s="146">
        <f>-B7</f>
        <v>69.7</v>
      </c>
      <c r="L7" s="39"/>
      <c r="M7" s="39"/>
      <c r="N7" s="39">
        <f t="shared" ref="N7:N32" si="0">SUM(B7:F7)-SUM(H7:I7)+SUM(K7:M7)</f>
        <v>0</v>
      </c>
      <c r="O7" s="153" t="s">
        <v>775</v>
      </c>
      <c r="P7" s="154"/>
    </row>
    <row r="8" spans="1:17" s="20" customFormat="1" x14ac:dyDescent="0.2">
      <c r="A8" s="158">
        <v>45317</v>
      </c>
      <c r="B8" s="146">
        <v>-19.43</v>
      </c>
      <c r="C8" s="39"/>
      <c r="D8" s="39"/>
      <c r="E8" s="39"/>
      <c r="F8" s="39"/>
      <c r="G8" s="83"/>
      <c r="H8" s="39"/>
      <c r="I8" s="39"/>
      <c r="J8" s="83"/>
      <c r="K8" s="146">
        <f>-B8</f>
        <v>19.43</v>
      </c>
      <c r="L8" s="39"/>
      <c r="M8" s="39"/>
      <c r="N8" s="39">
        <f t="shared" si="0"/>
        <v>0</v>
      </c>
      <c r="O8" s="153" t="s">
        <v>776</v>
      </c>
      <c r="P8" s="154"/>
    </row>
    <row r="9" spans="1:17" x14ac:dyDescent="0.2">
      <c r="A9" s="158">
        <v>44593</v>
      </c>
      <c r="B9" s="146">
        <v>-100</v>
      </c>
      <c r="C9" s="32"/>
      <c r="E9" s="32"/>
      <c r="F9" s="146">
        <f>-B9</f>
        <v>100</v>
      </c>
      <c r="G9" s="132"/>
      <c r="H9" s="32"/>
      <c r="I9" s="146">
        <f>--C9</f>
        <v>0</v>
      </c>
      <c r="M9" s="32"/>
      <c r="N9" s="39">
        <f>SUM(B9:F9)-SUM(H9:I9)+SUM(K9:M9)</f>
        <v>0</v>
      </c>
      <c r="O9" s="155" t="s">
        <v>757</v>
      </c>
    </row>
    <row r="10" spans="1:17" x14ac:dyDescent="0.2">
      <c r="A10" s="158">
        <v>44618</v>
      </c>
      <c r="B10" s="146">
        <v>-20.46</v>
      </c>
      <c r="C10" s="32"/>
      <c r="E10" s="32"/>
      <c r="G10" s="132"/>
      <c r="H10" s="32"/>
      <c r="K10" s="32">
        <f>-B10</f>
        <v>20.46</v>
      </c>
      <c r="N10" s="39">
        <f t="shared" si="0"/>
        <v>0</v>
      </c>
      <c r="O10" s="155" t="s">
        <v>777</v>
      </c>
    </row>
    <row r="11" spans="1:17" x14ac:dyDescent="0.2">
      <c r="A11" s="158">
        <v>44621</v>
      </c>
      <c r="B11" s="146">
        <v>-100</v>
      </c>
      <c r="C11" s="32"/>
      <c r="D11" s="32"/>
      <c r="E11" s="32"/>
      <c r="F11" s="146">
        <f>-B11</f>
        <v>100</v>
      </c>
      <c r="G11" s="132"/>
      <c r="H11" s="32"/>
      <c r="I11" s="146">
        <f>--C11</f>
        <v>0</v>
      </c>
      <c r="J11" s="132"/>
      <c r="M11" s="32"/>
      <c r="N11" s="39">
        <f>SUM(B11:F11)-SUM(H11:I11)+SUM(K11:M11)</f>
        <v>0</v>
      </c>
      <c r="O11" s="155" t="s">
        <v>757</v>
      </c>
    </row>
    <row r="12" spans="1:17" x14ac:dyDescent="0.2">
      <c r="A12" s="158">
        <v>45376</v>
      </c>
      <c r="B12" s="146">
        <v>7500</v>
      </c>
      <c r="C12" s="32"/>
      <c r="D12" s="32"/>
      <c r="E12" s="32"/>
      <c r="G12" s="132"/>
      <c r="H12" s="32">
        <f>-B12</f>
        <v>-7500</v>
      </c>
      <c r="I12" s="146"/>
      <c r="J12" s="132"/>
      <c r="M12" s="32"/>
      <c r="N12" s="39"/>
      <c r="O12" s="155" t="s">
        <v>778</v>
      </c>
    </row>
    <row r="13" spans="1:17" x14ac:dyDescent="0.2">
      <c r="A13" s="158">
        <v>44646</v>
      </c>
      <c r="B13" s="146">
        <v>-20.239999999999998</v>
      </c>
      <c r="C13" s="32"/>
      <c r="E13" s="32"/>
      <c r="G13" s="132"/>
      <c r="H13" s="32"/>
      <c r="K13" s="32">
        <f>-B13</f>
        <v>20.239999999999998</v>
      </c>
      <c r="N13" s="39">
        <f t="shared" si="0"/>
        <v>0</v>
      </c>
      <c r="O13" s="155" t="s">
        <v>644</v>
      </c>
    </row>
    <row r="14" spans="1:17" x14ac:dyDescent="0.2">
      <c r="A14" s="158">
        <v>44652</v>
      </c>
      <c r="B14" s="146">
        <v>-100</v>
      </c>
      <c r="C14" s="32"/>
      <c r="E14" s="32"/>
      <c r="F14" s="146">
        <f>-B14</f>
        <v>100</v>
      </c>
      <c r="G14" s="132"/>
      <c r="H14" s="32"/>
      <c r="I14" s="146">
        <f>--C14</f>
        <v>0</v>
      </c>
      <c r="M14" s="32"/>
      <c r="N14" s="39">
        <f t="shared" si="0"/>
        <v>0</v>
      </c>
      <c r="O14" s="155" t="s">
        <v>757</v>
      </c>
    </row>
    <row r="15" spans="1:17" x14ac:dyDescent="0.2">
      <c r="A15" s="158">
        <v>43947</v>
      </c>
      <c r="B15" s="146">
        <v>-20.260000000000002</v>
      </c>
      <c r="C15" s="32"/>
      <c r="E15" s="32"/>
      <c r="G15" s="132"/>
      <c r="H15" s="32"/>
      <c r="K15" s="32">
        <f>-B15</f>
        <v>20.260000000000002</v>
      </c>
      <c r="N15" s="39">
        <f t="shared" si="0"/>
        <v>0</v>
      </c>
      <c r="O15" s="155" t="s">
        <v>644</v>
      </c>
    </row>
    <row r="16" spans="1:17" x14ac:dyDescent="0.2">
      <c r="A16" s="158">
        <v>43952</v>
      </c>
      <c r="B16" s="146">
        <v>-100</v>
      </c>
      <c r="C16" s="32"/>
      <c r="E16" s="32"/>
      <c r="F16" s="146">
        <f>-B16</f>
        <v>100</v>
      </c>
      <c r="G16" s="132"/>
      <c r="H16" s="32"/>
      <c r="I16" s="146">
        <f>--C16</f>
        <v>0</v>
      </c>
      <c r="M16" s="32"/>
      <c r="N16" s="39">
        <f t="shared" si="0"/>
        <v>0</v>
      </c>
      <c r="O16" s="155" t="s">
        <v>757</v>
      </c>
    </row>
    <row r="17" spans="1:16" x14ac:dyDescent="0.2">
      <c r="A17" s="158">
        <v>45420</v>
      </c>
      <c r="B17" s="146">
        <v>-2500</v>
      </c>
      <c r="C17" s="32"/>
      <c r="E17" s="32"/>
      <c r="G17" s="132"/>
      <c r="H17" s="32"/>
      <c r="I17" s="146"/>
      <c r="L17" s="32">
        <f>-B17</f>
        <v>2500</v>
      </c>
      <c r="M17" s="32"/>
      <c r="N17" s="39">
        <f t="shared" si="0"/>
        <v>0</v>
      </c>
      <c r="O17" s="155" t="s">
        <v>779</v>
      </c>
    </row>
    <row r="18" spans="1:16" x14ac:dyDescent="0.2">
      <c r="A18" s="158">
        <v>43977</v>
      </c>
      <c r="B18" s="146">
        <v>-20.239999999999998</v>
      </c>
      <c r="C18" s="32"/>
      <c r="E18" s="32"/>
      <c r="G18" s="132"/>
      <c r="H18" s="32"/>
      <c r="K18" s="32">
        <f>-B18</f>
        <v>20.239999999999998</v>
      </c>
      <c r="N18" s="39">
        <f t="shared" si="0"/>
        <v>0</v>
      </c>
      <c r="O18" s="155" t="s">
        <v>644</v>
      </c>
    </row>
    <row r="19" spans="1:16" s="99" customFormat="1" x14ac:dyDescent="0.2">
      <c r="A19" s="158">
        <v>43983</v>
      </c>
      <c r="B19" s="146">
        <v>-100</v>
      </c>
      <c r="C19" s="32"/>
      <c r="D19"/>
      <c r="E19" s="32"/>
      <c r="F19" s="146">
        <f>-B19</f>
        <v>100</v>
      </c>
      <c r="G19" s="132"/>
      <c r="H19" s="32"/>
      <c r="I19" s="146">
        <f>--C19</f>
        <v>0</v>
      </c>
      <c r="J19" s="84"/>
      <c r="K19" s="32"/>
      <c r="L19" s="32"/>
      <c r="M19" s="47"/>
      <c r="N19" s="39">
        <f t="shared" si="0"/>
        <v>0</v>
      </c>
      <c r="O19" s="155" t="s">
        <v>757</v>
      </c>
    </row>
    <row r="20" spans="1:16" s="99" customFormat="1" x14ac:dyDescent="0.2">
      <c r="A20" s="158">
        <v>44738</v>
      </c>
      <c r="B20" s="146">
        <v>-20.46</v>
      </c>
      <c r="C20"/>
      <c r="D20"/>
      <c r="E20" s="32"/>
      <c r="F20" s="32"/>
      <c r="G20" s="132"/>
      <c r="H20" s="32"/>
      <c r="I20" s="32"/>
      <c r="J20" s="132"/>
      <c r="K20" s="32">
        <f>-B20</f>
        <v>20.46</v>
      </c>
      <c r="L20" s="32"/>
      <c r="M20" s="32"/>
      <c r="N20" s="39">
        <f t="shared" si="0"/>
        <v>0</v>
      </c>
      <c r="O20" s="155" t="s">
        <v>644</v>
      </c>
    </row>
    <row r="21" spans="1:16" s="99" customFormat="1" x14ac:dyDescent="0.2">
      <c r="A21" s="158">
        <v>44013</v>
      </c>
      <c r="B21" s="146">
        <v>-100</v>
      </c>
      <c r="C21" s="32"/>
      <c r="D21"/>
      <c r="E21" s="32"/>
      <c r="F21" s="146">
        <f>-B21</f>
        <v>100</v>
      </c>
      <c r="G21" s="132"/>
      <c r="H21" s="32"/>
      <c r="I21" s="146">
        <f>--C21</f>
        <v>0</v>
      </c>
      <c r="J21" s="132"/>
      <c r="K21" s="32"/>
      <c r="L21" s="32"/>
      <c r="M21" s="32"/>
      <c r="N21" s="39">
        <f t="shared" si="0"/>
        <v>0</v>
      </c>
      <c r="O21" s="155" t="s">
        <v>757</v>
      </c>
    </row>
    <row r="22" spans="1:16" s="99" customFormat="1" x14ac:dyDescent="0.2">
      <c r="A22" s="158">
        <v>44038</v>
      </c>
      <c r="B22" s="146">
        <v>-20.239999999999998</v>
      </c>
      <c r="C22" s="32"/>
      <c r="D22"/>
      <c r="E22" s="32"/>
      <c r="F22" s="32"/>
      <c r="G22" s="132"/>
      <c r="H22" s="32"/>
      <c r="I22" s="32"/>
      <c r="J22" s="132"/>
      <c r="K22" s="32">
        <f>-B22</f>
        <v>20.239999999999998</v>
      </c>
      <c r="L22" s="32"/>
      <c r="M22" s="32"/>
      <c r="N22" s="39">
        <f t="shared" si="0"/>
        <v>0</v>
      </c>
      <c r="O22" s="155" t="s">
        <v>644</v>
      </c>
    </row>
    <row r="23" spans="1:16" s="99" customFormat="1" x14ac:dyDescent="0.2">
      <c r="A23" s="158">
        <v>44044</v>
      </c>
      <c r="B23" s="146">
        <v>-100</v>
      </c>
      <c r="C23" s="32"/>
      <c r="D23" s="32"/>
      <c r="E23" s="32"/>
      <c r="F23" s="146">
        <f>-B23</f>
        <v>100</v>
      </c>
      <c r="G23" s="132"/>
      <c r="H23" s="32"/>
      <c r="I23" s="146">
        <f>--C23</f>
        <v>0</v>
      </c>
      <c r="J23" s="132"/>
      <c r="K23" s="32"/>
      <c r="L23" s="32"/>
      <c r="M23" s="32"/>
      <c r="N23" s="39">
        <f t="shared" si="0"/>
        <v>0</v>
      </c>
      <c r="O23" s="155" t="s">
        <v>757</v>
      </c>
    </row>
    <row r="24" spans="1:16" s="99" customFormat="1" x14ac:dyDescent="0.2">
      <c r="A24" s="158">
        <v>44069</v>
      </c>
      <c r="B24" s="146">
        <v>-23.94</v>
      </c>
      <c r="C24" s="32"/>
      <c r="D24" s="32"/>
      <c r="E24" s="32"/>
      <c r="F24" s="32"/>
      <c r="G24" s="132"/>
      <c r="H24" s="32"/>
      <c r="I24" s="32"/>
      <c r="J24" s="132"/>
      <c r="K24" s="32">
        <f>-B24</f>
        <v>23.94</v>
      </c>
      <c r="L24" s="32"/>
      <c r="M24"/>
      <c r="N24" s="39">
        <f t="shared" si="0"/>
        <v>0</v>
      </c>
      <c r="O24" s="155" t="s">
        <v>644</v>
      </c>
    </row>
    <row r="25" spans="1:16" s="99" customFormat="1" x14ac:dyDescent="0.2">
      <c r="A25" s="158">
        <v>44075</v>
      </c>
      <c r="B25" s="146">
        <v>-100</v>
      </c>
      <c r="C25" s="32"/>
      <c r="D25" s="32"/>
      <c r="E25" s="32"/>
      <c r="F25" s="146">
        <f>-B25</f>
        <v>100</v>
      </c>
      <c r="G25" s="132"/>
      <c r="H25" s="32"/>
      <c r="I25" s="146">
        <f>--C25</f>
        <v>0</v>
      </c>
      <c r="J25" s="132"/>
      <c r="K25" s="32"/>
      <c r="L25" s="32"/>
      <c r="M25" s="32"/>
      <c r="N25" s="39">
        <f t="shared" si="0"/>
        <v>0</v>
      </c>
      <c r="O25" s="155" t="s">
        <v>757</v>
      </c>
    </row>
    <row r="26" spans="1:16" s="99" customFormat="1" x14ac:dyDescent="0.2">
      <c r="A26" s="158">
        <v>44100</v>
      </c>
      <c r="B26" s="146">
        <v>-23.94</v>
      </c>
      <c r="C26" s="32"/>
      <c r="D26" s="32"/>
      <c r="E26" s="32"/>
      <c r="F26" s="32"/>
      <c r="G26" s="132"/>
      <c r="H26" s="32"/>
      <c r="I26" s="32"/>
      <c r="J26" s="132"/>
      <c r="K26" s="32">
        <f>-B26</f>
        <v>23.94</v>
      </c>
      <c r="L26" s="32"/>
      <c r="M26"/>
      <c r="N26" s="39">
        <f t="shared" si="0"/>
        <v>0</v>
      </c>
      <c r="O26" s="155" t="s">
        <v>644</v>
      </c>
    </row>
    <row r="27" spans="1:16" s="99" customFormat="1" x14ac:dyDescent="0.2">
      <c r="A27" s="117">
        <v>44105</v>
      </c>
      <c r="B27" s="32">
        <v>-100</v>
      </c>
      <c r="C27" s="32"/>
      <c r="D27" s="32"/>
      <c r="E27" s="32"/>
      <c r="F27" s="146">
        <f>-B27</f>
        <v>100</v>
      </c>
      <c r="G27" s="132"/>
      <c r="H27" s="32"/>
      <c r="I27" s="146">
        <f>--C27</f>
        <v>0</v>
      </c>
      <c r="J27" s="132"/>
      <c r="K27" s="32"/>
      <c r="L27" s="32"/>
      <c r="M27" s="32"/>
      <c r="N27" s="39">
        <f t="shared" si="0"/>
        <v>0</v>
      </c>
      <c r="O27" s="155" t="s">
        <v>757</v>
      </c>
    </row>
    <row r="28" spans="1:16" s="99" customFormat="1" x14ac:dyDescent="0.2">
      <c r="A28" s="117">
        <v>45583</v>
      </c>
      <c r="B28" s="32">
        <v>-500.4</v>
      </c>
      <c r="C28" s="32"/>
      <c r="D28" s="32"/>
      <c r="E28" s="32"/>
      <c r="G28" s="132"/>
      <c r="H28" s="32"/>
      <c r="I28" s="146"/>
      <c r="J28" s="132"/>
      <c r="K28" s="32"/>
      <c r="L28" s="32">
        <f>-B28</f>
        <v>500.4</v>
      </c>
      <c r="M28" s="32"/>
      <c r="N28" s="39">
        <f t="shared" si="0"/>
        <v>0</v>
      </c>
      <c r="O28" s="155" t="s">
        <v>780</v>
      </c>
    </row>
    <row r="29" spans="1:16" s="99" customFormat="1" x14ac:dyDescent="0.2">
      <c r="A29" s="117">
        <v>44130</v>
      </c>
      <c r="B29" s="32">
        <v>-23.94</v>
      </c>
      <c r="C29" s="32"/>
      <c r="D29" s="32"/>
      <c r="E29" s="32"/>
      <c r="F29" s="32"/>
      <c r="G29" s="132"/>
      <c r="H29" s="32"/>
      <c r="I29" s="32"/>
      <c r="J29" s="132"/>
      <c r="K29" s="32">
        <f>-B29</f>
        <v>23.94</v>
      </c>
      <c r="L29" s="32"/>
      <c r="M29"/>
      <c r="N29" s="39">
        <f t="shared" si="0"/>
        <v>0</v>
      </c>
      <c r="O29" s="155" t="s">
        <v>644</v>
      </c>
    </row>
    <row r="30" spans="1:16" s="99" customFormat="1" x14ac:dyDescent="0.2">
      <c r="A30" s="117">
        <v>44866</v>
      </c>
      <c r="B30" s="32">
        <v>-100</v>
      </c>
      <c r="C30" s="32"/>
      <c r="D30" s="32"/>
      <c r="E30" s="32"/>
      <c r="F30" s="146">
        <f>-B30</f>
        <v>100</v>
      </c>
      <c r="G30" s="132"/>
      <c r="H30" s="32"/>
      <c r="I30" s="146">
        <f>--C30</f>
        <v>0</v>
      </c>
      <c r="J30" s="132"/>
      <c r="K30" s="32"/>
      <c r="L30" s="32"/>
      <c r="M30" s="32"/>
      <c r="N30" s="39">
        <f t="shared" si="0"/>
        <v>0</v>
      </c>
      <c r="O30" s="155" t="s">
        <v>757</v>
      </c>
    </row>
    <row r="31" spans="1:16" s="147" customFormat="1" x14ac:dyDescent="0.2">
      <c r="A31" s="158">
        <v>44161</v>
      </c>
      <c r="B31" s="146">
        <v>-24.16</v>
      </c>
      <c r="C31" s="146"/>
      <c r="D31" s="146"/>
      <c r="E31" s="146"/>
      <c r="F31" s="146"/>
      <c r="G31" s="159"/>
      <c r="H31" s="146"/>
      <c r="I31" s="146"/>
      <c r="J31" s="159"/>
      <c r="K31" s="32">
        <f>-B31</f>
        <v>24.16</v>
      </c>
      <c r="L31" s="146"/>
      <c r="N31" s="39">
        <f t="shared" si="0"/>
        <v>0</v>
      </c>
      <c r="O31" s="155" t="s">
        <v>644</v>
      </c>
      <c r="P31" s="99"/>
    </row>
    <row r="32" spans="1:16" s="147" customFormat="1" x14ac:dyDescent="0.2">
      <c r="A32" s="158">
        <v>44896</v>
      </c>
      <c r="B32" s="146">
        <v>-100</v>
      </c>
      <c r="C32" s="146"/>
      <c r="D32" s="146"/>
      <c r="E32" s="146"/>
      <c r="F32" s="146">
        <f>-B32</f>
        <v>100</v>
      </c>
      <c r="G32" s="159"/>
      <c r="H32" s="146"/>
      <c r="I32" s="146">
        <f>--C32</f>
        <v>0</v>
      </c>
      <c r="J32" s="159"/>
      <c r="K32" s="146"/>
      <c r="L32" s="146"/>
      <c r="M32" s="32"/>
      <c r="N32" s="39">
        <f t="shared" si="0"/>
        <v>0</v>
      </c>
      <c r="O32" s="155" t="s">
        <v>757</v>
      </c>
      <c r="P32" s="99"/>
    </row>
    <row r="33" spans="1:17" s="147" customFormat="1" x14ac:dyDescent="0.2">
      <c r="A33" s="158">
        <v>44177</v>
      </c>
      <c r="B33" s="146">
        <v>0.25</v>
      </c>
      <c r="C33" s="146"/>
      <c r="D33" s="146"/>
      <c r="E33" s="146"/>
      <c r="F33" s="32"/>
      <c r="G33" s="159"/>
      <c r="H33" s="146"/>
      <c r="I33" s="146">
        <f>-B33</f>
        <v>-0.25</v>
      </c>
      <c r="J33" s="159"/>
      <c r="K33" s="146">
        <v>0</v>
      </c>
      <c r="L33" s="146">
        <v>0</v>
      </c>
      <c r="N33" s="39">
        <f>SUM(B33:F33)+SUM(H33:I33)</f>
        <v>0</v>
      </c>
      <c r="O33" s="155" t="s">
        <v>644</v>
      </c>
      <c r="P33" s="99"/>
    </row>
    <row r="34" spans="1:17" s="99" customFormat="1" x14ac:dyDescent="0.2">
      <c r="A34" s="158">
        <v>45652</v>
      </c>
      <c r="B34" s="146">
        <v>-23.94</v>
      </c>
      <c r="C34" s="32"/>
      <c r="D34"/>
      <c r="E34" s="32"/>
      <c r="F34" s="32"/>
      <c r="G34" s="132"/>
      <c r="I34" s="32"/>
      <c r="J34" s="132"/>
      <c r="K34" s="32">
        <f>-B34</f>
        <v>23.94</v>
      </c>
      <c r="L34" s="32"/>
      <c r="M34" s="32"/>
      <c r="N34" s="39">
        <v>0</v>
      </c>
      <c r="O34" s="155" t="s">
        <v>777</v>
      </c>
    </row>
    <row r="35" spans="1:17" s="147" customFormat="1" x14ac:dyDescent="0.2">
      <c r="A35" s="158"/>
      <c r="B35" s="146"/>
      <c r="C35" s="146"/>
      <c r="D35" s="146"/>
      <c r="E35" s="146"/>
      <c r="F35" s="32"/>
      <c r="G35" s="159"/>
      <c r="H35" s="146"/>
      <c r="I35" s="146"/>
      <c r="J35" s="159"/>
      <c r="K35" s="146"/>
      <c r="L35" s="146"/>
      <c r="N35" s="39">
        <f t="shared" ref="N35" si="1">SUM(B35:M35)</f>
        <v>0</v>
      </c>
      <c r="O35" s="155"/>
      <c r="P35" s="99"/>
    </row>
    <row r="36" spans="1:17" s="20" customFormat="1" x14ac:dyDescent="0.2">
      <c r="A36" s="20" t="s">
        <v>203</v>
      </c>
      <c r="B36" s="39">
        <f>SUM(B5:B35)</f>
        <v>8763.7099999999955</v>
      </c>
      <c r="C36" s="39">
        <f>SUM(C5:C35)</f>
        <v>1690.5299999999947</v>
      </c>
      <c r="D36" s="39">
        <f>SUM(D5:D35)</f>
        <v>168.52999999999994</v>
      </c>
      <c r="E36" s="39">
        <f>SUM(E5:E35)</f>
        <v>-4051.37</v>
      </c>
      <c r="F36" s="39">
        <f>SUM(F5:F35)</f>
        <v>-2400</v>
      </c>
      <c r="G36" s="83"/>
      <c r="H36" s="39">
        <f>SUM(H5:H35)</f>
        <v>-7500</v>
      </c>
      <c r="I36" s="39">
        <f>SUM(I5:I35)</f>
        <v>-2.4</v>
      </c>
      <c r="J36" s="83"/>
      <c r="K36" s="39">
        <f>SUM(K5:K35)</f>
        <v>330.95000000000005</v>
      </c>
      <c r="L36" s="39">
        <f>SUM(L5:L35)</f>
        <v>3000.4</v>
      </c>
      <c r="M36" s="39">
        <f>SUM(M5:M35)</f>
        <v>0</v>
      </c>
      <c r="N36" s="146">
        <f>SUM(N5:N35)</f>
        <v>0.34999999999035936</v>
      </c>
      <c r="O36" s="153"/>
      <c r="P36" s="154"/>
    </row>
    <row r="37" spans="1:17" s="20" customFormat="1" x14ac:dyDescent="0.2">
      <c r="B37" s="39"/>
      <c r="C37" s="39"/>
      <c r="D37" s="39"/>
      <c r="E37" s="39"/>
      <c r="F37" s="39"/>
      <c r="G37" s="83"/>
      <c r="H37" s="39"/>
      <c r="I37" s="39"/>
      <c r="J37" s="83"/>
      <c r="K37" s="39"/>
      <c r="L37" s="39"/>
      <c r="M37" s="39"/>
      <c r="N37" s="146"/>
      <c r="O37" s="153"/>
      <c r="P37" s="154"/>
    </row>
    <row r="38" spans="1:17" x14ac:dyDescent="0.2">
      <c r="A38" s="20" t="s">
        <v>199</v>
      </c>
      <c r="B38" s="32"/>
      <c r="C38" s="32"/>
      <c r="D38" s="32"/>
      <c r="E38" s="32"/>
      <c r="G38" s="132"/>
      <c r="H38" s="32"/>
      <c r="I38" s="32"/>
      <c r="J38" s="132"/>
      <c r="M38" s="32"/>
      <c r="N38" s="146"/>
      <c r="O38" s="155"/>
    </row>
    <row r="39" spans="1:17" x14ac:dyDescent="0.2">
      <c r="A39" s="70" t="s">
        <v>549</v>
      </c>
      <c r="B39" s="32"/>
      <c r="C39" s="32"/>
      <c r="D39" s="116">
        <f>+K36</f>
        <v>330.95000000000005</v>
      </c>
      <c r="E39" s="32"/>
      <c r="G39" s="132"/>
      <c r="H39" s="47"/>
      <c r="I39" s="32"/>
      <c r="J39" s="132"/>
      <c r="K39" s="32">
        <f>-K36</f>
        <v>-330.95000000000005</v>
      </c>
      <c r="M39" s="32"/>
      <c r="N39" s="146">
        <f>SUM(B39:M39)</f>
        <v>0</v>
      </c>
      <c r="O39" s="252"/>
      <c r="P39" s="238"/>
    </row>
    <row r="40" spans="1:17" x14ac:dyDescent="0.2">
      <c r="A40" s="107" t="s">
        <v>760</v>
      </c>
      <c r="B40" s="32"/>
      <c r="C40" s="32"/>
      <c r="D40" s="221">
        <f>+D39+D36</f>
        <v>499.48</v>
      </c>
      <c r="E40" s="32"/>
      <c r="G40" s="132"/>
      <c r="H40" s="47"/>
      <c r="I40" s="32"/>
      <c r="J40" s="132"/>
      <c r="M40" s="32"/>
      <c r="N40" s="146"/>
      <c r="O40" s="211"/>
      <c r="P40" s="98"/>
    </row>
    <row r="41" spans="1:17" x14ac:dyDescent="0.2">
      <c r="A41" s="70"/>
      <c r="B41" s="32"/>
      <c r="C41" s="32"/>
      <c r="D41" s="72"/>
      <c r="E41" s="32"/>
      <c r="G41" s="132"/>
      <c r="I41" s="32"/>
      <c r="J41" s="132"/>
      <c r="M41" s="32"/>
      <c r="N41" s="146"/>
      <c r="O41" s="211"/>
      <c r="P41" s="98"/>
    </row>
    <row r="42" spans="1:17" x14ac:dyDescent="0.2">
      <c r="A42" s="147"/>
      <c r="B42" s="32"/>
      <c r="C42" s="32"/>
      <c r="D42" s="47"/>
      <c r="E42" s="32"/>
      <c r="G42" s="132"/>
      <c r="I42" s="32"/>
      <c r="J42" s="132"/>
      <c r="M42" s="32"/>
      <c r="N42" s="146"/>
      <c r="O42" s="155"/>
    </row>
    <row r="43" spans="1:17" s="20" customFormat="1" x14ac:dyDescent="0.2">
      <c r="A43" s="20" t="s">
        <v>194</v>
      </c>
      <c r="B43" s="39">
        <f>+SUM(B36:B42)</f>
        <v>8763.7099999999955</v>
      </c>
      <c r="C43" s="39">
        <f>+SUM(C36:C42)</f>
        <v>1690.5299999999947</v>
      </c>
      <c r="D43" s="39">
        <f>+D40</f>
        <v>499.48</v>
      </c>
      <c r="E43" s="39">
        <f>+SUM(E36:E42)</f>
        <v>-4051.37</v>
      </c>
      <c r="F43" s="39">
        <f>+F36</f>
        <v>-2400</v>
      </c>
      <c r="G43" s="83"/>
      <c r="H43" s="39">
        <f>+SUM(H36:H42)</f>
        <v>-7500</v>
      </c>
      <c r="I43" s="39">
        <f>+SUM(I36:I42)</f>
        <v>-2.4</v>
      </c>
      <c r="J43" s="83"/>
      <c r="K43" s="39">
        <f>-+SUM(K36:K42)</f>
        <v>0</v>
      </c>
      <c r="L43" s="39">
        <f>+SUM(L36:L42)</f>
        <v>3000.4</v>
      </c>
      <c r="M43" s="39">
        <f>+SUM(M36:M42)</f>
        <v>0</v>
      </c>
      <c r="N43" s="39"/>
      <c r="O43" s="153"/>
      <c r="P43" s="154"/>
    </row>
    <row r="44" spans="1:17" x14ac:dyDescent="0.2">
      <c r="A44" s="20" t="s">
        <v>761</v>
      </c>
      <c r="B44" s="39"/>
      <c r="C44" s="39"/>
      <c r="D44" s="20"/>
      <c r="E44" s="39">
        <f>(H43+I43+L43)</f>
        <v>-4502</v>
      </c>
      <c r="G44" s="132"/>
      <c r="H44" s="32"/>
      <c r="I44" s="32"/>
      <c r="J44" s="132"/>
      <c r="M44" s="32"/>
      <c r="N44" s="146"/>
      <c r="O44" s="155"/>
      <c r="Q44" s="216"/>
    </row>
    <row r="45" spans="1:17" x14ac:dyDescent="0.2">
      <c r="B45" s="32"/>
      <c r="C45" s="32"/>
      <c r="D45" s="32"/>
      <c r="E45" s="32"/>
      <c r="G45" s="132"/>
      <c r="H45" s="32"/>
      <c r="I45" s="32"/>
      <c r="J45" s="132"/>
      <c r="M45" s="32"/>
      <c r="N45" s="146"/>
      <c r="O45" s="155"/>
    </row>
    <row r="46" spans="1:17" s="20" customFormat="1" x14ac:dyDescent="0.2">
      <c r="A46" s="20" t="s">
        <v>240</v>
      </c>
      <c r="B46" s="47">
        <f>+B43</f>
        <v>8763.7099999999955</v>
      </c>
      <c r="C46" s="47">
        <f>+C43</f>
        <v>1690.5299999999947</v>
      </c>
      <c r="D46" s="47">
        <f>+D43</f>
        <v>499.48</v>
      </c>
      <c r="E46" s="39">
        <f>+E43+E44</f>
        <v>-8553.369999999999</v>
      </c>
      <c r="F46" s="39">
        <f>+F43</f>
        <v>-2400</v>
      </c>
      <c r="G46" s="83"/>
      <c r="H46" s="39"/>
      <c r="I46" s="39"/>
      <c r="J46" s="83"/>
      <c r="K46" s="39"/>
      <c r="L46" s="39"/>
      <c r="M46" s="39"/>
      <c r="N46" s="39">
        <f>SUM(B46:F46)-SUM(H46:I46)+SUM(K46:M46)</f>
        <v>0.34999999999126885</v>
      </c>
      <c r="O46" s="153"/>
      <c r="P46" s="154"/>
    </row>
    <row r="48" spans="1:17" s="133" customFormat="1" ht="15" x14ac:dyDescent="0.2">
      <c r="A48" s="20" t="s">
        <v>592</v>
      </c>
      <c r="C48" s="134"/>
      <c r="D48" s="134"/>
      <c r="F48" s="134"/>
      <c r="G48" s="135"/>
      <c r="J48" s="135"/>
      <c r="K48" s="134"/>
      <c r="L48" s="134"/>
      <c r="N48" s="217"/>
      <c r="O48" s="99"/>
      <c r="P48" s="99"/>
    </row>
    <row r="49" spans="1:81" s="133" customFormat="1" ht="15" x14ac:dyDescent="0.2">
      <c r="A49" s="147"/>
      <c r="C49" s="134"/>
      <c r="D49" s="134"/>
      <c r="F49" s="134"/>
      <c r="G49" s="135"/>
      <c r="J49" s="135"/>
      <c r="K49" s="134"/>
      <c r="L49" s="134"/>
      <c r="O49" s="99"/>
      <c r="P49" s="99"/>
    </row>
    <row r="50" spans="1:81" x14ac:dyDescent="0.2">
      <c r="A50" s="161" t="s">
        <v>729</v>
      </c>
      <c r="B50" s="146"/>
      <c r="C50" s="147"/>
      <c r="F50" s="146"/>
    </row>
    <row r="51" spans="1:81" ht="13.5" customHeight="1" x14ac:dyDescent="0.2">
      <c r="A51" s="148" t="s">
        <v>788</v>
      </c>
      <c r="B51" s="146">
        <f>-12*100</f>
        <v>-1200</v>
      </c>
      <c r="C51" s="146" t="s">
        <v>789</v>
      </c>
      <c r="D51" s="146">
        <v>2400</v>
      </c>
    </row>
    <row r="52" spans="1:81" ht="12.75" customHeight="1" x14ac:dyDescent="0.2">
      <c r="A52" s="148"/>
      <c r="B52" s="146"/>
      <c r="C52" s="146"/>
      <c r="D52" s="146"/>
    </row>
    <row r="53" spans="1:81" s="84" customFormat="1" x14ac:dyDescent="0.2">
      <c r="A53" s="107"/>
      <c r="B53" s="39"/>
      <c r="C53" s="39"/>
      <c r="D53" s="39"/>
      <c r="E53" s="20"/>
      <c r="F53" s="39"/>
      <c r="H53" s="187"/>
      <c r="I53"/>
      <c r="K53" s="32"/>
      <c r="L53" s="32"/>
      <c r="M53"/>
      <c r="N53" s="216">
        <f>+B46+C46+D46+E46+F46</f>
        <v>0.34999999999126885</v>
      </c>
      <c r="O53" s="99"/>
      <c r="P53" s="99"/>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row>
    <row r="54" spans="1:81" s="84" customFormat="1" x14ac:dyDescent="0.2">
      <c r="A54" s="161" t="s">
        <v>781</v>
      </c>
      <c r="B54" s="146"/>
      <c r="C54" s="146"/>
      <c r="D54" s="146"/>
      <c r="E54" s="147"/>
      <c r="F54" s="146"/>
      <c r="H54"/>
      <c r="I54"/>
      <c r="K54" s="32"/>
      <c r="L54" s="32"/>
      <c r="M54"/>
      <c r="N54"/>
      <c r="O54" s="99"/>
      <c r="P54" s="99"/>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row>
    <row r="55" spans="1:81" s="84" customFormat="1" x14ac:dyDescent="0.2">
      <c r="A55" s="148" t="s">
        <v>763</v>
      </c>
      <c r="B55" s="146">
        <f>+D5</f>
        <v>168.52999999999994</v>
      </c>
      <c r="C55" s="32"/>
      <c r="D55" s="32"/>
      <c r="E55"/>
      <c r="F55" s="32"/>
      <c r="H55"/>
      <c r="I55"/>
      <c r="K55" s="32"/>
      <c r="L55" s="32"/>
      <c r="M55"/>
      <c r="N55"/>
      <c r="O55" s="99"/>
      <c r="P55" s="99"/>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row>
    <row r="56" spans="1:81" s="84" customFormat="1" x14ac:dyDescent="0.2">
      <c r="A56" s="148" t="s">
        <v>783</v>
      </c>
      <c r="B56" s="215">
        <f>+K36</f>
        <v>330.95000000000005</v>
      </c>
      <c r="C56" s="70"/>
      <c r="D56" s="32"/>
      <c r="E56"/>
      <c r="F56" s="32"/>
      <c r="H56"/>
      <c r="I56"/>
      <c r="K56" s="32"/>
      <c r="L56" s="32"/>
      <c r="M56"/>
      <c r="N56"/>
      <c r="O56" s="99"/>
      <c r="P56" s="99"/>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row>
    <row r="57" spans="1:81" s="84" customFormat="1" x14ac:dyDescent="0.2">
      <c r="A57" s="148" t="s">
        <v>784</v>
      </c>
      <c r="B57" s="212">
        <f>SUM(B55:B56)</f>
        <v>499.48</v>
      </c>
      <c r="C57"/>
      <c r="D57"/>
      <c r="E57"/>
      <c r="F57" s="32"/>
      <c r="H57"/>
      <c r="I57"/>
      <c r="K57" s="32"/>
      <c r="L57" s="32"/>
      <c r="M57"/>
      <c r="N57"/>
      <c r="O57" s="99"/>
      <c r="P57" s="99"/>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row>
    <row r="58" spans="1:81" s="84" customFormat="1" x14ac:dyDescent="0.2">
      <c r="A58"/>
      <c r="B58"/>
      <c r="C58"/>
      <c r="D58" s="112"/>
      <c r="E58"/>
      <c r="F58" s="32"/>
      <c r="H58"/>
      <c r="I58"/>
      <c r="K58" s="32"/>
      <c r="L58" s="32"/>
      <c r="M58"/>
      <c r="N58"/>
      <c r="O58" s="99"/>
      <c r="P58" s="99"/>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row>
    <row r="59" spans="1:81" x14ac:dyDescent="0.2">
      <c r="B59" s="47"/>
    </row>
    <row r="60" spans="1:81" x14ac:dyDescent="0.2">
      <c r="B60" s="216"/>
    </row>
  </sheetData>
  <mergeCells count="1">
    <mergeCell ref="O39:P39"/>
  </mergeCells>
  <printOptions gridLines="1"/>
  <pageMargins left="0.25" right="0.25" top="0.75" bottom="0.75" header="0.3" footer="0.3"/>
  <pageSetup paperSize="9" scale="58" orientation="landscape" r:id="rId1"/>
  <headerFooter alignWithMargins="0">
    <oddFooter>&amp;L&amp;F, &amp;A&amp;R&amp;D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40"/>
  <sheetViews>
    <sheetView zoomScaleNormal="100" workbookViewId="0">
      <selection activeCell="B5" sqref="B5"/>
    </sheetView>
  </sheetViews>
  <sheetFormatPr defaultColWidth="8.85546875" defaultRowHeight="12.75" x14ac:dyDescent="0.2"/>
  <cols>
    <col min="1" max="1" width="9.28515625" bestFit="1" customWidth="1"/>
    <col min="2" max="2" width="27.42578125" bestFit="1" customWidth="1"/>
    <col min="3" max="3" width="14" style="44" bestFit="1" customWidth="1"/>
  </cols>
  <sheetData>
    <row r="1" spans="1:6" s="42" customFormat="1" ht="15.75" x14ac:dyDescent="0.25">
      <c r="A1" s="42" t="s">
        <v>210</v>
      </c>
      <c r="C1" s="43"/>
    </row>
    <row r="4" spans="1:6" x14ac:dyDescent="0.2">
      <c r="C4" s="33" t="s">
        <v>73</v>
      </c>
    </row>
    <row r="5" spans="1:6" s="54" customFormat="1" x14ac:dyDescent="0.2">
      <c r="A5" s="53"/>
      <c r="B5" s="53"/>
      <c r="C5" s="53"/>
      <c r="D5" s="53"/>
      <c r="E5" s="53"/>
      <c r="F5" s="53"/>
    </row>
    <row r="7" spans="1:6" x14ac:dyDescent="0.2">
      <c r="A7" s="70" t="s">
        <v>220</v>
      </c>
    </row>
    <row r="8" spans="1:6" x14ac:dyDescent="0.2">
      <c r="A8" t="s">
        <v>79</v>
      </c>
    </row>
    <row r="9" spans="1:6" x14ac:dyDescent="0.2">
      <c r="A9" t="s">
        <v>77</v>
      </c>
      <c r="C9" s="44">
        <f>-'kolommenbalans 2012'!J9</f>
        <v>9.56</v>
      </c>
    </row>
    <row r="11" spans="1:6" x14ac:dyDescent="0.2">
      <c r="A11" s="70" t="s">
        <v>221</v>
      </c>
    </row>
    <row r="12" spans="1:6" x14ac:dyDescent="0.2">
      <c r="A12" t="s">
        <v>79</v>
      </c>
    </row>
    <row r="13" spans="1:6" x14ac:dyDescent="0.2">
      <c r="A13" t="s">
        <v>77</v>
      </c>
      <c r="C13" s="44">
        <f>-'kolommenbalans 2012'!J10</f>
        <v>9.07</v>
      </c>
    </row>
    <row r="15" spans="1:6" x14ac:dyDescent="0.2">
      <c r="A15" s="70" t="s">
        <v>222</v>
      </c>
    </row>
    <row r="16" spans="1:6" x14ac:dyDescent="0.2">
      <c r="A16" t="s">
        <v>79</v>
      </c>
    </row>
    <row r="17" spans="1:4" x14ac:dyDescent="0.2">
      <c r="A17" t="s">
        <v>77</v>
      </c>
      <c r="C17" s="44">
        <f>-'kolommenbalans 2012'!J11</f>
        <v>12.07</v>
      </c>
    </row>
    <row r="19" spans="1:4" x14ac:dyDescent="0.2">
      <c r="A19" s="70" t="s">
        <v>223</v>
      </c>
    </row>
    <row r="20" spans="1:4" x14ac:dyDescent="0.2">
      <c r="A20" t="s">
        <v>79</v>
      </c>
    </row>
    <row r="21" spans="1:4" x14ac:dyDescent="0.2">
      <c r="A21" t="s">
        <v>77</v>
      </c>
      <c r="C21" s="44">
        <f>+'kolommenbalans 2012'!J18</f>
        <v>7.03</v>
      </c>
    </row>
    <row r="23" spans="1:4" x14ac:dyDescent="0.2">
      <c r="A23" s="70" t="s">
        <v>224</v>
      </c>
    </row>
    <row r="24" spans="1:4" x14ac:dyDescent="0.2">
      <c r="A24" t="s">
        <v>79</v>
      </c>
    </row>
    <row r="25" spans="1:4" x14ac:dyDescent="0.2">
      <c r="A25" t="s">
        <v>77</v>
      </c>
      <c r="C25" s="44">
        <f>-'kolommenbalans 2012'!J8</f>
        <v>24.08</v>
      </c>
    </row>
    <row r="27" spans="1:4" x14ac:dyDescent="0.2">
      <c r="B27" s="55"/>
    </row>
    <row r="28" spans="1:4" x14ac:dyDescent="0.2">
      <c r="A28" s="20" t="s">
        <v>225</v>
      </c>
    </row>
    <row r="29" spans="1:4" x14ac:dyDescent="0.2">
      <c r="A29" s="20" t="s">
        <v>208</v>
      </c>
      <c r="C29" s="39">
        <f>SUM(C6:C27)</f>
        <v>61.81</v>
      </c>
    </row>
    <row r="30" spans="1:4" x14ac:dyDescent="0.2">
      <c r="A30" s="20" t="s">
        <v>209</v>
      </c>
    </row>
    <row r="32" spans="1:4" x14ac:dyDescent="0.2">
      <c r="C32" s="44">
        <v>0.26</v>
      </c>
      <c r="D32" s="70" t="s">
        <v>228</v>
      </c>
    </row>
    <row r="33" spans="2:3" x14ac:dyDescent="0.2">
      <c r="B33" s="71" t="s">
        <v>229</v>
      </c>
      <c r="C33" s="44">
        <f>+C29+C32</f>
        <v>62.07</v>
      </c>
    </row>
    <row r="38" spans="2:3" s="20" customFormat="1" x14ac:dyDescent="0.2">
      <c r="C38" s="39"/>
    </row>
    <row r="39" spans="2:3" s="20" customFormat="1" x14ac:dyDescent="0.2">
      <c r="C39" s="39"/>
    </row>
    <row r="40" spans="2:3" s="20" customFormat="1" x14ac:dyDescent="0.2"/>
  </sheetData>
  <pageMargins left="0.75" right="0.75" top="1" bottom="1" header="0.5" footer="0.5"/>
  <pageSetup paperSize="274" orientation="portrait"/>
  <headerFooter alignWithMargins="0">
    <oddFooter>&amp;L&amp;F, &amp;A&amp;R&amp;D</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30"/>
  <sheetViews>
    <sheetView zoomScaleNormal="100" workbookViewId="0">
      <selection activeCell="B36" sqref="B36"/>
    </sheetView>
  </sheetViews>
  <sheetFormatPr defaultColWidth="8.85546875" defaultRowHeight="12.75" x14ac:dyDescent="0.2"/>
  <cols>
    <col min="1" max="1" width="6.42578125" customWidth="1"/>
    <col min="3" max="3" width="40.28515625" customWidth="1"/>
    <col min="4" max="4" width="9.140625" style="4" customWidth="1"/>
    <col min="6" max="6" width="2.42578125" customWidth="1"/>
    <col min="9" max="9" width="2.42578125" customWidth="1"/>
  </cols>
  <sheetData>
    <row r="1" spans="1:11" ht="20.25" x14ac:dyDescent="0.3">
      <c r="A1" s="10" t="s">
        <v>69</v>
      </c>
    </row>
    <row r="3" spans="1:11" x14ac:dyDescent="0.2">
      <c r="D3" s="264">
        <v>40908</v>
      </c>
      <c r="E3" s="264"/>
      <c r="G3" s="264">
        <v>40543</v>
      </c>
      <c r="H3" s="264"/>
      <c r="I3" s="34"/>
      <c r="J3" s="264">
        <v>40178</v>
      </c>
      <c r="K3" s="264"/>
    </row>
    <row r="4" spans="1:11" x14ac:dyDescent="0.2">
      <c r="D4" s="248" t="s">
        <v>73</v>
      </c>
      <c r="E4" s="248"/>
      <c r="G4" s="248" t="s">
        <v>73</v>
      </c>
      <c r="H4" s="248"/>
      <c r="I4" s="35"/>
      <c r="J4" s="248" t="s">
        <v>73</v>
      </c>
      <c r="K4" s="248"/>
    </row>
    <row r="5" spans="1:11" ht="15.75" x14ac:dyDescent="0.25">
      <c r="A5" s="2" t="s">
        <v>21</v>
      </c>
      <c r="E5" s="8"/>
      <c r="G5" s="5"/>
      <c r="H5" s="8"/>
      <c r="I5" s="7"/>
      <c r="J5" s="5"/>
      <c r="K5" s="8"/>
    </row>
    <row r="6" spans="1:11" s="12" customFormat="1" ht="19.5" customHeight="1" x14ac:dyDescent="0.2">
      <c r="A6" s="11" t="s">
        <v>23</v>
      </c>
      <c r="D6" s="68"/>
      <c r="E6" s="14"/>
      <c r="G6" s="13"/>
      <c r="H6" s="14"/>
      <c r="I6" s="36"/>
      <c r="J6" s="13"/>
      <c r="K6" s="14"/>
    </row>
    <row r="7" spans="1:11" x14ac:dyDescent="0.2">
      <c r="A7" t="s">
        <v>25</v>
      </c>
      <c r="E7" s="8">
        <v>0</v>
      </c>
      <c r="G7" s="5"/>
      <c r="H7" s="8">
        <v>0</v>
      </c>
      <c r="I7" s="7"/>
      <c r="J7" s="5"/>
      <c r="K7" s="8">
        <v>0</v>
      </c>
    </row>
    <row r="8" spans="1:11" x14ac:dyDescent="0.2">
      <c r="E8" s="8"/>
      <c r="G8" s="5"/>
      <c r="H8" s="8"/>
      <c r="I8" s="7"/>
      <c r="J8" s="5"/>
      <c r="K8" s="8"/>
    </row>
    <row r="9" spans="1:11" s="12" customFormat="1" ht="19.5" customHeight="1" x14ac:dyDescent="0.2">
      <c r="A9" s="11" t="s">
        <v>24</v>
      </c>
      <c r="D9" s="68"/>
      <c r="E9" s="14"/>
      <c r="G9" s="13"/>
      <c r="H9" s="14"/>
      <c r="I9" s="36"/>
      <c r="J9" s="13"/>
      <c r="K9" s="14"/>
    </row>
    <row r="10" spans="1:11" x14ac:dyDescent="0.2">
      <c r="A10" t="s">
        <v>26</v>
      </c>
      <c r="D10" s="4">
        <f>+'overloop 2011'!C29</f>
        <v>69.2</v>
      </c>
      <c r="E10" s="15"/>
      <c r="G10" s="5">
        <v>0</v>
      </c>
      <c r="H10" s="15"/>
      <c r="I10" s="26"/>
      <c r="J10" s="5">
        <v>0</v>
      </c>
      <c r="K10" s="15"/>
    </row>
    <row r="11" spans="1:11" ht="13.5" thickBot="1" x14ac:dyDescent="0.25">
      <c r="A11" t="s">
        <v>70</v>
      </c>
      <c r="D11" s="9">
        <v>10533.65</v>
      </c>
      <c r="E11" s="8"/>
      <c r="G11" s="6">
        <v>6086.88</v>
      </c>
      <c r="H11" s="8"/>
      <c r="I11" s="7"/>
      <c r="J11" s="6">
        <v>635.5</v>
      </c>
      <c r="K11" s="8"/>
    </row>
    <row r="12" spans="1:11" ht="13.5" thickBot="1" x14ac:dyDescent="0.25">
      <c r="E12" s="16">
        <f>+D11+D10</f>
        <v>10602.85</v>
      </c>
      <c r="G12" s="5"/>
      <c r="H12" s="16">
        <f>+G11+G10</f>
        <v>6086.88</v>
      </c>
      <c r="I12" s="7"/>
      <c r="J12" s="5"/>
      <c r="K12" s="16">
        <v>635.5</v>
      </c>
    </row>
    <row r="13" spans="1:11" ht="19.5" customHeight="1" x14ac:dyDescent="0.2">
      <c r="A13" s="3"/>
      <c r="C13" s="29" t="s">
        <v>55</v>
      </c>
      <c r="D13" s="30"/>
      <c r="E13" s="18">
        <f>+E12+E7</f>
        <v>10602.85</v>
      </c>
      <c r="F13" s="29"/>
      <c r="G13" s="7"/>
      <c r="H13" s="18">
        <f>+H12+H7</f>
        <v>6086.88</v>
      </c>
      <c r="I13" s="37"/>
      <c r="J13" s="7"/>
      <c r="K13" s="18">
        <v>635.5</v>
      </c>
    </row>
    <row r="14" spans="1:11" x14ac:dyDescent="0.2">
      <c r="E14" s="8"/>
      <c r="G14" s="5"/>
      <c r="H14" s="8"/>
      <c r="I14" s="7"/>
      <c r="J14" s="5"/>
      <c r="K14" s="8"/>
    </row>
    <row r="15" spans="1:11" ht="15.75" x14ac:dyDescent="0.25">
      <c r="A15" s="2" t="s">
        <v>22</v>
      </c>
      <c r="E15" s="8"/>
      <c r="G15" s="5"/>
      <c r="H15" s="8"/>
      <c r="I15" s="7"/>
      <c r="J15" s="5"/>
      <c r="K15" s="8"/>
    </row>
    <row r="16" spans="1:11" ht="19.5" customHeight="1" x14ac:dyDescent="0.2">
      <c r="A16" s="11" t="s">
        <v>29</v>
      </c>
      <c r="E16" s="8"/>
      <c r="G16" s="5"/>
      <c r="H16" s="8"/>
      <c r="I16" s="7"/>
      <c r="J16" s="5"/>
      <c r="K16" s="8"/>
    </row>
    <row r="17" spans="1:14" x14ac:dyDescent="0.2">
      <c r="A17" t="s">
        <v>28</v>
      </c>
      <c r="D17" s="5">
        <v>635.5</v>
      </c>
      <c r="E17" s="8"/>
      <c r="G17" s="5">
        <f>+'winst en verlies 2009'!D30</f>
        <v>635.5</v>
      </c>
      <c r="H17" s="8"/>
      <c r="I17" s="7"/>
      <c r="J17" s="5">
        <v>635.5</v>
      </c>
      <c r="K17" s="8"/>
    </row>
    <row r="18" spans="1:14" x14ac:dyDescent="0.2">
      <c r="A18" t="s">
        <v>182</v>
      </c>
      <c r="D18" s="5">
        <f>+'winst en verlies 2011'!H66</f>
        <v>3130</v>
      </c>
      <c r="E18" s="8"/>
      <c r="G18" s="5">
        <v>0</v>
      </c>
      <c r="H18" s="8"/>
      <c r="I18" s="7"/>
      <c r="J18" s="5">
        <v>0</v>
      </c>
      <c r="K18" s="8"/>
    </row>
    <row r="19" spans="1:14" ht="13.5" thickBot="1" x14ac:dyDescent="0.25">
      <c r="A19" t="s">
        <v>17</v>
      </c>
      <c r="D19" s="9">
        <f>+G19+'winst en verlies 2011'!E26</f>
        <v>-41.450000000000728</v>
      </c>
      <c r="E19" s="8"/>
      <c r="G19" s="6">
        <f>+'winst en verlies 2011'!G29</f>
        <v>2458.5500000000002</v>
      </c>
      <c r="H19" s="8"/>
      <c r="I19" s="7"/>
      <c r="J19" s="6">
        <v>0</v>
      </c>
      <c r="K19" s="8"/>
    </row>
    <row r="20" spans="1:14" s="12" customFormat="1" ht="13.5" customHeight="1" x14ac:dyDescent="0.2">
      <c r="D20" s="68"/>
      <c r="E20" s="49">
        <f>+D19+D17+D18</f>
        <v>3724.0499999999993</v>
      </c>
      <c r="G20" s="13"/>
      <c r="H20" s="49">
        <f>+G19+G17</f>
        <v>3094.05</v>
      </c>
      <c r="I20" s="50"/>
      <c r="J20" s="50"/>
      <c r="K20" s="49">
        <v>635.5</v>
      </c>
    </row>
    <row r="21" spans="1:14" x14ac:dyDescent="0.2">
      <c r="E21" s="8"/>
      <c r="G21" s="5"/>
      <c r="H21" s="8"/>
      <c r="I21" s="7"/>
      <c r="J21" s="5"/>
      <c r="K21" s="8"/>
    </row>
    <row r="22" spans="1:14" s="12" customFormat="1" ht="19.5" customHeight="1" thickBot="1" x14ac:dyDescent="0.25">
      <c r="A22" s="11" t="s">
        <v>30</v>
      </c>
      <c r="E22" s="16">
        <f>+'winst en verlies 2011'!H63</f>
        <v>6879</v>
      </c>
      <c r="G22" s="13"/>
      <c r="H22" s="51">
        <f>+'winst en verlies 2010'!H63</f>
        <v>2993.0299999999997</v>
      </c>
      <c r="I22" s="36"/>
      <c r="J22" s="13"/>
      <c r="K22" s="17">
        <v>0</v>
      </c>
    </row>
    <row r="23" spans="1:14" ht="19.5" customHeight="1" x14ac:dyDescent="0.2">
      <c r="C23" s="29" t="s">
        <v>55</v>
      </c>
      <c r="D23" s="30"/>
      <c r="E23" s="18">
        <f>+E20+E22</f>
        <v>10603.05</v>
      </c>
      <c r="F23" s="29"/>
      <c r="G23" s="5"/>
      <c r="H23" s="18">
        <f>+H20+H22</f>
        <v>6087.08</v>
      </c>
      <c r="I23" s="37"/>
      <c r="J23" s="5"/>
      <c r="K23" s="18">
        <v>635.5</v>
      </c>
    </row>
    <row r="24" spans="1:14" ht="19.5" customHeight="1" x14ac:dyDescent="0.2">
      <c r="E24" s="18"/>
      <c r="G24" s="5"/>
      <c r="H24" s="18"/>
      <c r="I24" s="37"/>
      <c r="J24" s="5"/>
      <c r="K24" s="18"/>
    </row>
    <row r="25" spans="1:14" ht="19.5" customHeight="1" x14ac:dyDescent="0.2">
      <c r="E25" s="18"/>
      <c r="G25" s="5"/>
      <c r="H25" s="18"/>
      <c r="I25" s="37"/>
      <c r="J25" s="5"/>
      <c r="K25" s="18"/>
    </row>
    <row r="26" spans="1:14" x14ac:dyDescent="0.2">
      <c r="G26" s="5"/>
      <c r="H26" s="7"/>
      <c r="I26" s="7"/>
      <c r="J26" s="5"/>
      <c r="K26" s="7"/>
    </row>
    <row r="27" spans="1:14" x14ac:dyDescent="0.2">
      <c r="E27" s="52"/>
    </row>
    <row r="28" spans="1:14" x14ac:dyDescent="0.2">
      <c r="A28" t="s">
        <v>31</v>
      </c>
      <c r="C28" t="s">
        <v>113</v>
      </c>
      <c r="H28" s="22"/>
      <c r="I28" s="22"/>
      <c r="K28" s="22"/>
    </row>
    <row r="29" spans="1:14" x14ac:dyDescent="0.2">
      <c r="A29" t="s">
        <v>34</v>
      </c>
      <c r="N29" s="12"/>
    </row>
    <row r="30" spans="1:14" x14ac:dyDescent="0.2">
      <c r="A30" t="s">
        <v>33</v>
      </c>
    </row>
  </sheetData>
  <mergeCells count="6">
    <mergeCell ref="D3:E3"/>
    <mergeCell ref="D4:E4"/>
    <mergeCell ref="G3:H3"/>
    <mergeCell ref="J3:K3"/>
    <mergeCell ref="G4:H4"/>
    <mergeCell ref="J4:K4"/>
  </mergeCells>
  <phoneticPr fontId="6" type="noConversion"/>
  <pageMargins left="0.75" right="0.75" top="1" bottom="1" header="0.5" footer="0.5"/>
  <pageSetup paperSize="274" orientation="landscape"/>
  <headerFooter alignWithMargins="0">
    <oddFooter>&amp;L&amp;F, &amp;A&amp;R&amp;D</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P77"/>
  <sheetViews>
    <sheetView zoomScaleNormal="100" workbookViewId="0">
      <selection activeCell="B36" sqref="B36"/>
    </sheetView>
  </sheetViews>
  <sheetFormatPr defaultColWidth="8.85546875" defaultRowHeight="12.75" x14ac:dyDescent="0.2"/>
  <cols>
    <col min="1" max="1" width="6.42578125" customWidth="1"/>
    <col min="3" max="3" width="24.140625" customWidth="1"/>
    <col min="6" max="6" width="2.42578125" customWidth="1"/>
    <col min="8" max="8" width="10.28515625" bestFit="1" customWidth="1"/>
    <col min="9" max="9" width="2.42578125" customWidth="1"/>
    <col min="10" max="10" width="9.140625" style="5" customWidth="1"/>
    <col min="12" max="12" width="2.85546875" customWidth="1"/>
    <col min="13" max="13" width="9.140625" style="5" customWidth="1"/>
    <col min="14" max="14" width="9.140625" customWidth="1"/>
    <col min="15" max="15" width="20.42578125" customWidth="1"/>
  </cols>
  <sheetData>
    <row r="1" spans="1:14" ht="20.25" x14ac:dyDescent="0.3">
      <c r="A1" s="10" t="s">
        <v>74</v>
      </c>
    </row>
    <row r="3" spans="1:14" x14ac:dyDescent="0.2">
      <c r="D3" s="251" t="s">
        <v>164</v>
      </c>
      <c r="E3" s="236"/>
      <c r="F3" s="27"/>
      <c r="G3" s="251" t="s">
        <v>75</v>
      </c>
      <c r="H3" s="236"/>
      <c r="I3" s="27"/>
      <c r="J3" s="271" t="s">
        <v>20</v>
      </c>
      <c r="K3" s="236"/>
      <c r="M3" s="267"/>
      <c r="N3" s="268"/>
    </row>
    <row r="4" spans="1:14" x14ac:dyDescent="0.2">
      <c r="D4" s="232" t="s">
        <v>73</v>
      </c>
      <c r="E4" s="231"/>
      <c r="F4" s="28"/>
      <c r="G4" s="232" t="s">
        <v>73</v>
      </c>
      <c r="H4" s="231"/>
      <c r="I4" s="28"/>
      <c r="J4" s="232" t="s">
        <v>73</v>
      </c>
      <c r="K4" s="231"/>
      <c r="M4" s="269"/>
      <c r="N4" s="270"/>
    </row>
    <row r="5" spans="1:14" ht="15.75" x14ac:dyDescent="0.25">
      <c r="A5" s="2" t="s">
        <v>0</v>
      </c>
      <c r="D5" s="5"/>
      <c r="E5" s="8"/>
      <c r="F5" s="7"/>
      <c r="G5" s="5"/>
      <c r="H5" s="8"/>
      <c r="I5" s="7"/>
      <c r="K5" s="8"/>
      <c r="N5" s="7"/>
    </row>
    <row r="6" spans="1:14" x14ac:dyDescent="0.2">
      <c r="A6" t="s">
        <v>11</v>
      </c>
      <c r="E6" s="8"/>
      <c r="F6" s="7"/>
      <c r="H6" s="8"/>
      <c r="I6" s="7"/>
      <c r="K6" s="8"/>
      <c r="N6" s="7"/>
    </row>
    <row r="7" spans="1:14" x14ac:dyDescent="0.2">
      <c r="A7" t="s">
        <v>1</v>
      </c>
      <c r="D7" s="5">
        <v>0</v>
      </c>
      <c r="E7" s="8"/>
      <c r="F7" s="7"/>
      <c r="G7" s="5">
        <v>0</v>
      </c>
      <c r="H7" s="8"/>
      <c r="I7" s="7"/>
      <c r="J7" s="5">
        <v>0</v>
      </c>
      <c r="K7" s="8"/>
      <c r="N7" s="7"/>
    </row>
    <row r="8" spans="1:14" x14ac:dyDescent="0.2">
      <c r="A8" t="s">
        <v>2</v>
      </c>
      <c r="D8" s="5">
        <v>7500</v>
      </c>
      <c r="E8" s="8"/>
      <c r="F8" s="7"/>
      <c r="G8" s="5">
        <v>7500</v>
      </c>
      <c r="H8" s="8"/>
      <c r="I8" s="7"/>
      <c r="J8" s="5">
        <v>7500</v>
      </c>
      <c r="K8" s="8"/>
      <c r="N8" s="7"/>
    </row>
    <row r="9" spans="1:14" ht="13.5" thickBot="1" x14ac:dyDescent="0.25">
      <c r="A9" t="s">
        <v>57</v>
      </c>
      <c r="D9" s="6">
        <f>+H56</f>
        <v>69.2</v>
      </c>
      <c r="E9" s="8"/>
      <c r="F9" s="7"/>
      <c r="G9" s="6">
        <v>86.56</v>
      </c>
      <c r="H9" s="8"/>
      <c r="I9" s="7"/>
      <c r="J9" s="6">
        <f>+'meerjarenbegroting '!F8</f>
        <v>100</v>
      </c>
      <c r="K9" s="8"/>
      <c r="N9" s="7"/>
    </row>
    <row r="10" spans="1:14" ht="19.5" customHeight="1" x14ac:dyDescent="0.2">
      <c r="A10" s="3" t="s">
        <v>3</v>
      </c>
      <c r="D10" s="7"/>
      <c r="E10" s="8">
        <f>SUM(D7:D9)</f>
        <v>7569.2</v>
      </c>
      <c r="F10" s="7"/>
      <c r="G10" s="7"/>
      <c r="H10" s="8">
        <v>7586.56</v>
      </c>
      <c r="I10" s="7"/>
      <c r="J10" s="7"/>
      <c r="K10" s="8">
        <f>SUM(J7:J9)</f>
        <v>7600</v>
      </c>
      <c r="M10" s="7"/>
      <c r="N10" s="7"/>
    </row>
    <row r="11" spans="1:14" x14ac:dyDescent="0.2">
      <c r="D11" s="5"/>
      <c r="E11" s="8"/>
      <c r="F11" s="7"/>
      <c r="G11" s="5"/>
      <c r="H11" s="8"/>
      <c r="I11" s="7"/>
      <c r="K11" s="8"/>
      <c r="N11" s="7"/>
    </row>
    <row r="12" spans="1:14" x14ac:dyDescent="0.2">
      <c r="A12" t="s">
        <v>4</v>
      </c>
      <c r="D12" s="5">
        <v>0</v>
      </c>
      <c r="E12" s="8"/>
      <c r="F12" s="7"/>
      <c r="G12" s="5">
        <v>0</v>
      </c>
      <c r="H12" s="8"/>
      <c r="I12" s="7"/>
      <c r="J12" s="5">
        <v>0</v>
      </c>
      <c r="K12" s="8"/>
      <c r="N12" s="7"/>
    </row>
    <row r="13" spans="1:14" ht="13.5" thickBot="1" x14ac:dyDescent="0.25">
      <c r="A13" t="s">
        <v>5</v>
      </c>
      <c r="D13" s="6">
        <v>0</v>
      </c>
      <c r="E13" s="8"/>
      <c r="F13" s="7"/>
      <c r="G13" s="6">
        <v>0</v>
      </c>
      <c r="H13" s="8"/>
      <c r="I13" s="7"/>
      <c r="J13" s="6">
        <v>0</v>
      </c>
      <c r="K13" s="8"/>
      <c r="N13" s="7"/>
    </row>
    <row r="14" spans="1:14" ht="19.5" customHeight="1" x14ac:dyDescent="0.2">
      <c r="A14" s="3" t="s">
        <v>6</v>
      </c>
      <c r="D14" s="7"/>
      <c r="E14" s="8">
        <f>-SUM(D12:D13)</f>
        <v>0</v>
      </c>
      <c r="F14" s="7"/>
      <c r="G14" s="7"/>
      <c r="H14" s="8">
        <v>0</v>
      </c>
      <c r="I14" s="7"/>
      <c r="J14" s="7"/>
      <c r="K14" s="8">
        <f>-SUM(J12:J13)</f>
        <v>0</v>
      </c>
      <c r="M14" s="7"/>
      <c r="N14" s="7"/>
    </row>
    <row r="15" spans="1:14" ht="13.5" thickBot="1" x14ac:dyDescent="0.25">
      <c r="A15" t="s">
        <v>14</v>
      </c>
      <c r="D15" s="5"/>
      <c r="E15" s="19">
        <f>+E14/E10</f>
        <v>0</v>
      </c>
      <c r="F15" s="26"/>
      <c r="G15" s="5"/>
      <c r="H15" s="19">
        <v>0</v>
      </c>
      <c r="I15" s="26"/>
      <c r="K15" s="19">
        <f>+K14/K10</f>
        <v>0</v>
      </c>
      <c r="N15" s="26"/>
    </row>
    <row r="16" spans="1:14" ht="19.5" customHeight="1" x14ac:dyDescent="0.2">
      <c r="A16" s="3" t="s">
        <v>8</v>
      </c>
      <c r="D16" s="7"/>
      <c r="E16" s="8">
        <f>+E10+E14</f>
        <v>7569.2</v>
      </c>
      <c r="F16" s="7"/>
      <c r="G16" s="7"/>
      <c r="H16" s="8">
        <v>7586.56</v>
      </c>
      <c r="I16" s="7"/>
      <c r="J16" s="7"/>
      <c r="K16" s="8">
        <f>+K10+K14</f>
        <v>7600</v>
      </c>
      <c r="M16" s="7"/>
      <c r="N16" s="7"/>
    </row>
    <row r="17" spans="1:16" ht="13.5" thickBot="1" x14ac:dyDescent="0.25">
      <c r="A17" t="s">
        <v>7</v>
      </c>
      <c r="D17" s="5"/>
      <c r="E17" s="16">
        <v>0</v>
      </c>
      <c r="F17" s="7"/>
      <c r="G17" s="5"/>
      <c r="H17" s="16">
        <v>0</v>
      </c>
      <c r="I17" s="7"/>
      <c r="K17" s="16">
        <v>0</v>
      </c>
      <c r="N17" s="7"/>
    </row>
    <row r="18" spans="1:16" ht="19.5" customHeight="1" x14ac:dyDescent="0.2">
      <c r="A18" s="3" t="s">
        <v>9</v>
      </c>
      <c r="D18" s="7"/>
      <c r="E18" s="8">
        <f>+E17+E16</f>
        <v>7569.2</v>
      </c>
      <c r="F18" s="7"/>
      <c r="G18" s="7"/>
      <c r="H18" s="8">
        <v>7586.56</v>
      </c>
      <c r="I18" s="7"/>
      <c r="J18" s="7"/>
      <c r="K18" s="8">
        <f>+K17+K16</f>
        <v>7600</v>
      </c>
      <c r="M18" s="7"/>
      <c r="N18" s="7"/>
    </row>
    <row r="19" spans="1:16" x14ac:dyDescent="0.2">
      <c r="D19" s="5"/>
      <c r="E19" s="8"/>
      <c r="F19" s="7"/>
      <c r="G19" s="5"/>
      <c r="H19" s="8"/>
      <c r="I19" s="7"/>
      <c r="K19" s="8"/>
      <c r="N19" s="7"/>
    </row>
    <row r="20" spans="1:16" ht="15.75" x14ac:dyDescent="0.25">
      <c r="A20" s="2" t="s">
        <v>10</v>
      </c>
      <c r="D20" s="5"/>
      <c r="E20" s="8"/>
      <c r="F20" s="7"/>
      <c r="G20" s="5"/>
      <c r="H20" s="8"/>
      <c r="I20" s="7"/>
      <c r="K20" s="8"/>
      <c r="N20" s="7"/>
    </row>
    <row r="21" spans="1:16" x14ac:dyDescent="0.2">
      <c r="A21" t="s">
        <v>12</v>
      </c>
      <c r="D21" s="5">
        <v>10000</v>
      </c>
      <c r="E21" s="8"/>
      <c r="F21" s="7"/>
      <c r="G21" s="5">
        <v>5053.45</v>
      </c>
      <c r="H21" s="8"/>
      <c r="I21" s="7"/>
      <c r="J21" s="5">
        <v>7500</v>
      </c>
      <c r="K21" s="8"/>
      <c r="N21" s="7"/>
    </row>
    <row r="22" spans="1:16" ht="13.5" thickBot="1" x14ac:dyDescent="0.25">
      <c r="A22" t="s">
        <v>5</v>
      </c>
      <c r="D22" s="6">
        <f>+H56</f>
        <v>69.2</v>
      </c>
      <c r="E22" s="8"/>
      <c r="F22" s="7"/>
      <c r="G22" s="6">
        <v>74.56</v>
      </c>
      <c r="H22" s="8"/>
      <c r="I22" s="7"/>
      <c r="J22" s="6">
        <f>+'meerjarenbegroting '!F21</f>
        <v>100</v>
      </c>
      <c r="K22" s="8"/>
      <c r="N22" s="7"/>
      <c r="P22" s="52"/>
    </row>
    <row r="23" spans="1:16" x14ac:dyDescent="0.2">
      <c r="D23" s="5"/>
      <c r="E23" s="8"/>
      <c r="F23" s="7"/>
      <c r="G23" s="5"/>
      <c r="H23" s="8"/>
      <c r="I23" s="7"/>
      <c r="K23" s="8"/>
      <c r="N23" s="7"/>
    </row>
    <row r="24" spans="1:16" ht="19.5" customHeight="1" x14ac:dyDescent="0.2">
      <c r="A24" s="3" t="s">
        <v>13</v>
      </c>
      <c r="D24" s="7"/>
      <c r="E24" s="8">
        <f>SUM(D20:D22)</f>
        <v>10069.200000000001</v>
      </c>
      <c r="F24" s="7"/>
      <c r="G24" s="7"/>
      <c r="H24" s="8">
        <v>5128.01</v>
      </c>
      <c r="I24" s="7"/>
      <c r="J24" s="7"/>
      <c r="K24" s="8">
        <f>+J22+J21</f>
        <v>7600</v>
      </c>
      <c r="M24" s="7"/>
      <c r="N24" s="7"/>
    </row>
    <row r="25" spans="1:16" x14ac:dyDescent="0.2">
      <c r="D25" s="5"/>
      <c r="E25" s="8"/>
      <c r="F25" s="7"/>
      <c r="G25" s="5"/>
      <c r="H25" s="8"/>
      <c r="I25" s="7"/>
      <c r="K25" s="8"/>
      <c r="N25" s="7"/>
      <c r="O25" s="52"/>
    </row>
    <row r="26" spans="1:16" ht="19.5" customHeight="1" x14ac:dyDescent="0.2">
      <c r="A26" s="1" t="s">
        <v>15</v>
      </c>
      <c r="D26" s="7"/>
      <c r="E26" s="8">
        <f>+E18-E24</f>
        <v>-2500.0000000000009</v>
      </c>
      <c r="F26" s="7"/>
      <c r="G26" s="7"/>
      <c r="H26" s="8">
        <v>2458.5500000000002</v>
      </c>
      <c r="I26" s="7"/>
      <c r="J26" s="7"/>
      <c r="K26" s="8">
        <f>+K18-K24</f>
        <v>0</v>
      </c>
      <c r="M26" s="7"/>
      <c r="N26" s="7"/>
    </row>
    <row r="27" spans="1:16" x14ac:dyDescent="0.2">
      <c r="D27" s="5"/>
      <c r="E27" s="7"/>
      <c r="F27" s="7"/>
      <c r="G27" s="5"/>
      <c r="H27" s="7"/>
      <c r="I27" s="7"/>
      <c r="K27" s="7"/>
      <c r="N27" s="7"/>
    </row>
    <row r="28" spans="1:16" x14ac:dyDescent="0.2">
      <c r="A28" s="20" t="s">
        <v>16</v>
      </c>
      <c r="D28" s="5"/>
      <c r="E28" s="7"/>
      <c r="F28" s="7"/>
      <c r="G28" s="5"/>
      <c r="H28" s="7"/>
      <c r="I28" s="7"/>
      <c r="K28" s="7"/>
      <c r="N28" s="7"/>
    </row>
    <row r="29" spans="1:16" x14ac:dyDescent="0.2">
      <c r="A29" t="s">
        <v>17</v>
      </c>
      <c r="D29" s="5">
        <f>(+E26+H66)</f>
        <v>629.99999999999909</v>
      </c>
      <c r="E29" s="8"/>
      <c r="F29" s="7"/>
      <c r="G29" s="5">
        <v>2458.5500000000002</v>
      </c>
      <c r="H29" s="8"/>
      <c r="I29" s="7"/>
      <c r="J29" s="5">
        <v>0</v>
      </c>
      <c r="K29" s="8"/>
      <c r="N29" s="7"/>
    </row>
    <row r="30" spans="1:16" x14ac:dyDescent="0.2">
      <c r="A30" t="s">
        <v>181</v>
      </c>
      <c r="D30" s="5">
        <f>-H66</f>
        <v>-3130</v>
      </c>
      <c r="E30" s="8"/>
      <c r="F30" s="7"/>
      <c r="G30" s="5"/>
      <c r="H30" s="8"/>
      <c r="I30" s="7"/>
      <c r="K30" s="8"/>
      <c r="N30" s="7"/>
    </row>
    <row r="31" spans="1:16" ht="13.5" thickBot="1" x14ac:dyDescent="0.25">
      <c r="A31" t="s">
        <v>28</v>
      </c>
      <c r="D31" s="6">
        <v>0</v>
      </c>
      <c r="E31" s="8"/>
      <c r="F31" s="7"/>
      <c r="G31" s="9">
        <v>0</v>
      </c>
      <c r="H31" s="8"/>
      <c r="I31" s="7"/>
      <c r="J31" s="6">
        <f>+K26</f>
        <v>0</v>
      </c>
      <c r="K31" s="8"/>
      <c r="N31" s="7"/>
    </row>
    <row r="32" spans="1:16" ht="19.5" customHeight="1" x14ac:dyDescent="0.2">
      <c r="A32" s="3"/>
      <c r="D32" s="7"/>
      <c r="E32" s="8">
        <f>+D29+D31+D30</f>
        <v>-2500.0000000000009</v>
      </c>
      <c r="F32" s="7"/>
      <c r="G32" s="7"/>
      <c r="H32" s="8">
        <v>2458.5500000000002</v>
      </c>
      <c r="I32" s="7"/>
      <c r="J32" s="7"/>
      <c r="K32" s="8">
        <f>+J31+J29</f>
        <v>0</v>
      </c>
      <c r="M32" s="7"/>
      <c r="N32" s="7"/>
    </row>
    <row r="33" spans="1:14" ht="19.5" customHeight="1" x14ac:dyDescent="0.2">
      <c r="A33" s="3"/>
      <c r="D33" s="7"/>
      <c r="E33" s="8"/>
      <c r="F33" s="7"/>
      <c r="G33" s="7"/>
      <c r="H33" s="8"/>
      <c r="I33" s="7"/>
      <c r="J33" s="7"/>
      <c r="K33" s="8"/>
      <c r="M33" s="7"/>
      <c r="N33" s="7"/>
    </row>
    <row r="34" spans="1:14" ht="19.5" customHeight="1" x14ac:dyDescent="0.2">
      <c r="A34" s="3"/>
      <c r="F34" s="7"/>
      <c r="I34" s="7"/>
      <c r="J34" s="7"/>
      <c r="K34" s="7"/>
      <c r="M34" s="7"/>
      <c r="N34" s="7"/>
    </row>
    <row r="35" spans="1:14" x14ac:dyDescent="0.2">
      <c r="A35" t="s">
        <v>43</v>
      </c>
    </row>
    <row r="36" spans="1:14" x14ac:dyDescent="0.2">
      <c r="A36" t="s">
        <v>47</v>
      </c>
    </row>
    <row r="37" spans="1:14" x14ac:dyDescent="0.2">
      <c r="B37" t="s">
        <v>44</v>
      </c>
    </row>
    <row r="38" spans="1:14" x14ac:dyDescent="0.2">
      <c r="B38" t="s">
        <v>45</v>
      </c>
    </row>
    <row r="40" spans="1:14" x14ac:dyDescent="0.2">
      <c r="B40" t="s">
        <v>107</v>
      </c>
    </row>
    <row r="41" spans="1:14" x14ac:dyDescent="0.2">
      <c r="B41" t="s">
        <v>165</v>
      </c>
      <c r="G41" s="23" t="s">
        <v>53</v>
      </c>
      <c r="H41" s="47">
        <f>+H54</f>
        <v>42.56</v>
      </c>
    </row>
    <row r="42" spans="1:14" ht="15" x14ac:dyDescent="0.35">
      <c r="B42" t="s">
        <v>166</v>
      </c>
      <c r="G42" s="23" t="s">
        <v>53</v>
      </c>
      <c r="H42" s="48">
        <f>+H55</f>
        <v>26.64</v>
      </c>
    </row>
    <row r="43" spans="1:14" x14ac:dyDescent="0.2">
      <c r="G43" s="23" t="s">
        <v>53</v>
      </c>
      <c r="H43" s="47">
        <f>SUM(H41:H42)</f>
        <v>69.2</v>
      </c>
    </row>
    <row r="44" spans="1:14" x14ac:dyDescent="0.2">
      <c r="G44" s="5"/>
    </row>
    <row r="45" spans="1:14" x14ac:dyDescent="0.2">
      <c r="A45" t="s">
        <v>46</v>
      </c>
      <c r="G45" s="5"/>
    </row>
    <row r="46" spans="1:14" x14ac:dyDescent="0.2">
      <c r="B46" t="s">
        <v>167</v>
      </c>
      <c r="G46" s="5"/>
    </row>
    <row r="47" spans="1:14" x14ac:dyDescent="0.2">
      <c r="B47" t="s">
        <v>168</v>
      </c>
      <c r="G47" s="5"/>
      <c r="H47" s="44"/>
    </row>
    <row r="48" spans="1:14" x14ac:dyDescent="0.2">
      <c r="B48" t="s">
        <v>169</v>
      </c>
      <c r="G48" s="23" t="s">
        <v>53</v>
      </c>
      <c r="H48" s="44">
        <v>3000</v>
      </c>
    </row>
    <row r="49" spans="1:12" x14ac:dyDescent="0.2">
      <c r="B49" t="s">
        <v>170</v>
      </c>
      <c r="G49" s="23" t="s">
        <v>53</v>
      </c>
      <c r="H49" s="44">
        <v>2200</v>
      </c>
    </row>
    <row r="50" spans="1:12" ht="15" x14ac:dyDescent="0.35">
      <c r="B50" t="s">
        <v>180</v>
      </c>
      <c r="D50" s="29"/>
      <c r="G50" s="23" t="s">
        <v>53</v>
      </c>
      <c r="H50" s="45">
        <v>4800</v>
      </c>
      <c r="L50" s="24"/>
    </row>
    <row r="51" spans="1:12" x14ac:dyDescent="0.2">
      <c r="G51" s="23" t="s">
        <v>53</v>
      </c>
      <c r="H51" s="44">
        <f>+H50+H49+H48</f>
        <v>10000</v>
      </c>
    </row>
    <row r="52" spans="1:12" x14ac:dyDescent="0.2">
      <c r="G52" s="5"/>
      <c r="H52" s="44"/>
    </row>
    <row r="53" spans="1:12" x14ac:dyDescent="0.2">
      <c r="A53" t="s">
        <v>173</v>
      </c>
      <c r="G53" s="5"/>
      <c r="H53" s="44"/>
    </row>
    <row r="54" spans="1:12" x14ac:dyDescent="0.2">
      <c r="B54" t="s">
        <v>71</v>
      </c>
      <c r="G54" s="23" t="s">
        <v>53</v>
      </c>
      <c r="H54" s="44">
        <f>SUM('overloop 2011'!C8:C21)</f>
        <v>42.56</v>
      </c>
    </row>
    <row r="55" spans="1:12" x14ac:dyDescent="0.2">
      <c r="B55" t="s">
        <v>87</v>
      </c>
      <c r="G55" s="23" t="s">
        <v>53</v>
      </c>
      <c r="H55" s="46">
        <v>26.64</v>
      </c>
    </row>
    <row r="56" spans="1:12" x14ac:dyDescent="0.2">
      <c r="G56" s="23" t="s">
        <v>53</v>
      </c>
      <c r="H56" s="44">
        <f>+H55+H54</f>
        <v>69.2</v>
      </c>
    </row>
    <row r="57" spans="1:12" x14ac:dyDescent="0.2">
      <c r="G57" s="23"/>
      <c r="H57" s="44"/>
    </row>
    <row r="58" spans="1:12" x14ac:dyDescent="0.2">
      <c r="A58" t="s">
        <v>171</v>
      </c>
      <c r="G58" s="23"/>
      <c r="H58" s="44"/>
    </row>
    <row r="59" spans="1:12" x14ac:dyDescent="0.2">
      <c r="B59" t="s">
        <v>172</v>
      </c>
      <c r="G59" s="23" t="s">
        <v>53</v>
      </c>
      <c r="H59" s="44">
        <v>3000</v>
      </c>
    </row>
    <row r="60" spans="1:12" x14ac:dyDescent="0.2">
      <c r="B60" t="s">
        <v>170</v>
      </c>
      <c r="C60" s="24"/>
      <c r="G60" s="23" t="s">
        <v>53</v>
      </c>
      <c r="H60" s="44">
        <v>2200</v>
      </c>
    </row>
    <row r="61" spans="1:12" x14ac:dyDescent="0.2">
      <c r="B61" t="s">
        <v>83</v>
      </c>
      <c r="C61" s="24"/>
      <c r="G61" s="23" t="s">
        <v>53</v>
      </c>
      <c r="H61" s="44">
        <v>1670</v>
      </c>
    </row>
    <row r="62" spans="1:12" ht="15" x14ac:dyDescent="0.35">
      <c r="B62" t="s">
        <v>205</v>
      </c>
      <c r="C62" s="24"/>
      <c r="G62" s="23"/>
      <c r="H62" s="45">
        <f>+'overloop 2011'!C21</f>
        <v>9</v>
      </c>
    </row>
    <row r="63" spans="1:12" x14ac:dyDescent="0.2">
      <c r="C63" s="24"/>
      <c r="G63" s="23" t="s">
        <v>53</v>
      </c>
      <c r="H63" s="44">
        <f>SUM(H59:H62)</f>
        <v>6879</v>
      </c>
    </row>
    <row r="64" spans="1:12" x14ac:dyDescent="0.2">
      <c r="C64" s="24"/>
      <c r="G64" s="23"/>
      <c r="H64" s="44"/>
    </row>
    <row r="65" spans="1:8" x14ac:dyDescent="0.2">
      <c r="A65" t="s">
        <v>178</v>
      </c>
      <c r="C65" s="24"/>
      <c r="G65" s="23"/>
      <c r="H65" s="44"/>
    </row>
    <row r="66" spans="1:8" x14ac:dyDescent="0.2">
      <c r="B66" t="s">
        <v>179</v>
      </c>
      <c r="G66" s="23" t="s">
        <v>53</v>
      </c>
      <c r="H66" s="44">
        <f>4800-1670</f>
        <v>3130</v>
      </c>
    </row>
    <row r="67" spans="1:8" x14ac:dyDescent="0.2">
      <c r="C67" s="24"/>
    </row>
    <row r="68" spans="1:8" x14ac:dyDescent="0.2">
      <c r="C68" s="24"/>
    </row>
    <row r="77" spans="1:8" x14ac:dyDescent="0.2">
      <c r="A77" s="21"/>
    </row>
  </sheetData>
  <mergeCells count="8">
    <mergeCell ref="M3:N3"/>
    <mergeCell ref="M4:N4"/>
    <mergeCell ref="J4:K4"/>
    <mergeCell ref="J3:K3"/>
    <mergeCell ref="D3:E3"/>
    <mergeCell ref="D4:E4"/>
    <mergeCell ref="G3:H3"/>
    <mergeCell ref="G4:H4"/>
  </mergeCells>
  <phoneticPr fontId="6" type="noConversion"/>
  <pageMargins left="0.75" right="0.75" top="1" bottom="0.8" header="0.5" footer="0.5"/>
  <pageSetup paperSize="274" scale="79" orientation="portrait"/>
  <headerFooter alignWithMargins="0">
    <oddFooter>&amp;L&amp;F, &amp;A&amp;R&amp;D</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3"/>
  <sheetViews>
    <sheetView zoomScaleNormal="100" workbookViewId="0">
      <selection activeCell="L13" sqref="L13"/>
    </sheetView>
  </sheetViews>
  <sheetFormatPr defaultColWidth="8.85546875" defaultRowHeight="12.75" x14ac:dyDescent="0.2"/>
  <cols>
    <col min="1" max="1" width="27.140625" customWidth="1"/>
    <col min="2" max="2" width="5.28515625" bestFit="1" customWidth="1"/>
    <col min="3" max="3" width="13" customWidth="1"/>
    <col min="4" max="4" width="28" customWidth="1"/>
    <col min="5" max="5" width="2.85546875" bestFit="1" customWidth="1"/>
    <col min="6" max="6" width="2.42578125" bestFit="1" customWidth="1"/>
  </cols>
  <sheetData>
    <row r="1" spans="1:7" ht="11.25" customHeight="1" x14ac:dyDescent="0.2">
      <c r="A1" s="67" t="s">
        <v>115</v>
      </c>
      <c r="B1" s="67"/>
      <c r="C1" s="67"/>
      <c r="D1" s="67"/>
      <c r="E1" s="67"/>
      <c r="F1" s="56"/>
      <c r="G1" s="56"/>
    </row>
    <row r="2" spans="1:7" x14ac:dyDescent="0.2">
      <c r="A2" s="58"/>
      <c r="B2" s="58"/>
      <c r="C2" s="58"/>
      <c r="D2" s="58"/>
      <c r="E2" s="58"/>
      <c r="F2" s="272"/>
      <c r="G2" s="272"/>
    </row>
    <row r="3" spans="1:7" ht="12.75" customHeight="1" x14ac:dyDescent="0.2">
      <c r="A3" s="59" t="s">
        <v>116</v>
      </c>
      <c r="B3" s="59"/>
      <c r="C3" s="59" t="s">
        <v>117</v>
      </c>
      <c r="D3" s="273" t="s">
        <v>118</v>
      </c>
      <c r="E3" s="273"/>
      <c r="F3" s="273"/>
      <c r="G3" s="273"/>
    </row>
    <row r="4" spans="1:7" x14ac:dyDescent="0.2">
      <c r="A4" s="60">
        <v>40910</v>
      </c>
      <c r="B4" s="57"/>
      <c r="C4" s="61" t="s">
        <v>53</v>
      </c>
      <c r="D4" s="61" t="s">
        <v>53</v>
      </c>
      <c r="F4" s="56"/>
      <c r="G4" s="56"/>
    </row>
    <row r="5" spans="1:7" x14ac:dyDescent="0.2">
      <c r="A5" s="56"/>
      <c r="B5" s="56"/>
      <c r="C5" s="62" t="s">
        <v>119</v>
      </c>
      <c r="D5" s="62" t="s">
        <v>119</v>
      </c>
      <c r="E5" s="56"/>
      <c r="F5" s="56"/>
      <c r="G5" s="56"/>
    </row>
    <row r="6" spans="1:7" x14ac:dyDescent="0.2">
      <c r="A6" s="58" t="s">
        <v>120</v>
      </c>
      <c r="B6" s="63" t="s">
        <v>121</v>
      </c>
      <c r="C6" s="58" t="s">
        <v>122</v>
      </c>
      <c r="D6" s="58" t="s">
        <v>123</v>
      </c>
      <c r="E6" s="58"/>
      <c r="F6" s="274" t="s">
        <v>124</v>
      </c>
      <c r="G6" s="274"/>
    </row>
    <row r="7" spans="1:7" x14ac:dyDescent="0.2">
      <c r="A7" s="275"/>
      <c r="B7" s="275"/>
      <c r="C7" s="275"/>
      <c r="D7" s="275"/>
      <c r="E7" s="275"/>
      <c r="F7" s="275"/>
      <c r="G7" s="275"/>
    </row>
    <row r="8" spans="1:7" ht="25.5" x14ac:dyDescent="0.2">
      <c r="A8" s="60">
        <v>40892</v>
      </c>
      <c r="B8" s="64" t="s">
        <v>127</v>
      </c>
      <c r="C8" s="275" t="s">
        <v>128</v>
      </c>
      <c r="D8" s="275" t="s">
        <v>129</v>
      </c>
      <c r="E8" s="276" t="s">
        <v>130</v>
      </c>
      <c r="F8" s="57" t="s">
        <v>131</v>
      </c>
      <c r="G8" s="65">
        <v>7500</v>
      </c>
    </row>
    <row r="9" spans="1:7" x14ac:dyDescent="0.2">
      <c r="A9" s="57" t="s">
        <v>125</v>
      </c>
      <c r="B9" s="57"/>
      <c r="C9" s="275"/>
      <c r="D9" s="275"/>
      <c r="E9" s="276"/>
      <c r="F9" s="56"/>
      <c r="G9" s="56"/>
    </row>
    <row r="10" spans="1:7" ht="13.5" customHeight="1" x14ac:dyDescent="0.2">
      <c r="A10" s="57" t="s">
        <v>126</v>
      </c>
      <c r="B10" s="64"/>
      <c r="C10" s="275"/>
      <c r="D10" s="275"/>
      <c r="E10" s="276"/>
      <c r="F10" s="56"/>
      <c r="G10" s="56"/>
    </row>
    <row r="11" spans="1:7" x14ac:dyDescent="0.2">
      <c r="A11" s="275"/>
      <c r="B11" s="275"/>
      <c r="C11" s="275"/>
      <c r="D11" s="57" t="s">
        <v>132</v>
      </c>
      <c r="E11" s="275"/>
      <c r="F11" s="275"/>
      <c r="G11" s="275"/>
    </row>
    <row r="12" spans="1:7" x14ac:dyDescent="0.2">
      <c r="A12" s="275"/>
      <c r="B12" s="275"/>
      <c r="C12" s="275"/>
      <c r="D12" s="57" t="s">
        <v>133</v>
      </c>
      <c r="E12" s="275"/>
      <c r="F12" s="275"/>
      <c r="G12" s="275"/>
    </row>
    <row r="13" spans="1:7" ht="25.5" x14ac:dyDescent="0.2">
      <c r="A13" s="60">
        <v>40817</v>
      </c>
      <c r="B13" s="64" t="s">
        <v>136</v>
      </c>
      <c r="C13" s="275"/>
      <c r="D13" s="275" t="s">
        <v>137</v>
      </c>
      <c r="E13" s="277" t="s">
        <v>138</v>
      </c>
      <c r="F13" s="57" t="s">
        <v>131</v>
      </c>
      <c r="G13" s="66">
        <v>9.06</v>
      </c>
    </row>
    <row r="14" spans="1:7" x14ac:dyDescent="0.2">
      <c r="A14" s="57" t="s">
        <v>134</v>
      </c>
      <c r="B14" s="57"/>
      <c r="C14" s="275"/>
      <c r="D14" s="275"/>
      <c r="E14" s="277"/>
      <c r="F14" s="56"/>
      <c r="G14" s="56"/>
    </row>
    <row r="15" spans="1:7" ht="12" customHeight="1" x14ac:dyDescent="0.2">
      <c r="A15" s="57" t="s">
        <v>135</v>
      </c>
      <c r="B15" s="64"/>
      <c r="C15" s="275"/>
      <c r="D15" s="275"/>
      <c r="E15" s="277"/>
      <c r="F15" s="56"/>
      <c r="G15" s="56"/>
    </row>
    <row r="16" spans="1:7" ht="25.5" x14ac:dyDescent="0.2">
      <c r="A16" s="275"/>
      <c r="B16" s="275"/>
      <c r="C16" s="275"/>
      <c r="D16" s="57" t="s">
        <v>139</v>
      </c>
      <c r="E16" s="275"/>
      <c r="F16" s="275"/>
      <c r="G16" s="275"/>
    </row>
    <row r="17" spans="1:7" ht="25.5" x14ac:dyDescent="0.2">
      <c r="A17" s="60">
        <v>40725</v>
      </c>
      <c r="B17" s="64" t="s">
        <v>136</v>
      </c>
      <c r="C17" s="275"/>
      <c r="D17" s="275" t="s">
        <v>137</v>
      </c>
      <c r="E17" s="277" t="s">
        <v>138</v>
      </c>
      <c r="F17" s="57" t="s">
        <v>131</v>
      </c>
      <c r="G17" s="66">
        <v>12.06</v>
      </c>
    </row>
    <row r="18" spans="1:7" x14ac:dyDescent="0.2">
      <c r="A18" s="57" t="s">
        <v>140</v>
      </c>
      <c r="B18" s="57"/>
      <c r="C18" s="275"/>
      <c r="D18" s="275"/>
      <c r="E18" s="277"/>
      <c r="F18" s="56"/>
      <c r="G18" s="56"/>
    </row>
    <row r="19" spans="1:7" ht="13.5" customHeight="1" x14ac:dyDescent="0.2">
      <c r="A19" s="57" t="s">
        <v>141</v>
      </c>
      <c r="B19" s="64"/>
      <c r="C19" s="275"/>
      <c r="D19" s="275"/>
      <c r="E19" s="277"/>
      <c r="F19" s="56"/>
      <c r="G19" s="56"/>
    </row>
    <row r="20" spans="1:7" ht="25.5" x14ac:dyDescent="0.2">
      <c r="A20" s="275"/>
      <c r="B20" s="275"/>
      <c r="C20" s="275"/>
      <c r="D20" s="57" t="s">
        <v>142</v>
      </c>
      <c r="E20" s="275"/>
      <c r="F20" s="275"/>
      <c r="G20" s="275"/>
    </row>
    <row r="21" spans="1:7" ht="25.5" x14ac:dyDescent="0.2">
      <c r="A21" s="60">
        <v>40634</v>
      </c>
      <c r="B21" s="64" t="s">
        <v>136</v>
      </c>
      <c r="C21" s="275"/>
      <c r="D21" s="275" t="s">
        <v>137</v>
      </c>
      <c r="E21" s="277" t="s">
        <v>138</v>
      </c>
      <c r="F21" s="57" t="s">
        <v>131</v>
      </c>
      <c r="G21" s="66">
        <v>12.44</v>
      </c>
    </row>
    <row r="22" spans="1:7" x14ac:dyDescent="0.2">
      <c r="A22" s="57" t="s">
        <v>143</v>
      </c>
      <c r="B22" s="57"/>
      <c r="C22" s="275"/>
      <c r="D22" s="275"/>
      <c r="E22" s="277"/>
      <c r="F22" s="56"/>
      <c r="G22" s="56"/>
    </row>
    <row r="23" spans="1:7" ht="14.25" customHeight="1" x14ac:dyDescent="0.2">
      <c r="A23" s="57" t="s">
        <v>144</v>
      </c>
      <c r="B23" s="64"/>
      <c r="C23" s="275"/>
      <c r="D23" s="275"/>
      <c r="E23" s="277"/>
      <c r="F23" s="56"/>
      <c r="G23" s="56"/>
    </row>
    <row r="24" spans="1:7" ht="25.5" x14ac:dyDescent="0.2">
      <c r="A24" s="275"/>
      <c r="B24" s="275"/>
      <c r="C24" s="275"/>
      <c r="D24" s="57" t="s">
        <v>145</v>
      </c>
      <c r="E24" s="275"/>
      <c r="F24" s="275"/>
      <c r="G24" s="275"/>
    </row>
    <row r="25" spans="1:7" ht="25.5" x14ac:dyDescent="0.2">
      <c r="A25" s="60">
        <v>40581</v>
      </c>
      <c r="B25" s="64" t="s">
        <v>148</v>
      </c>
      <c r="C25" s="275" t="s">
        <v>149</v>
      </c>
      <c r="D25" s="275" t="s">
        <v>150</v>
      </c>
      <c r="E25" s="276" t="s">
        <v>130</v>
      </c>
      <c r="F25" s="57" t="s">
        <v>131</v>
      </c>
      <c r="G25" s="66">
        <v>60.42</v>
      </c>
    </row>
    <row r="26" spans="1:7" x14ac:dyDescent="0.2">
      <c r="A26" s="57" t="s">
        <v>146</v>
      </c>
      <c r="B26" s="57"/>
      <c r="C26" s="275"/>
      <c r="D26" s="275"/>
      <c r="E26" s="276"/>
      <c r="F26" s="56"/>
      <c r="G26" s="56"/>
    </row>
    <row r="27" spans="1:7" ht="14.25" customHeight="1" x14ac:dyDescent="0.2">
      <c r="A27" s="57" t="s">
        <v>147</v>
      </c>
      <c r="B27" s="64"/>
      <c r="C27" s="275"/>
      <c r="D27" s="275"/>
      <c r="E27" s="276"/>
      <c r="F27" s="56"/>
      <c r="G27" s="56"/>
    </row>
    <row r="28" spans="1:7" x14ac:dyDescent="0.2">
      <c r="A28" s="275"/>
      <c r="B28" s="275"/>
      <c r="C28" s="275"/>
      <c r="D28" s="57" t="s">
        <v>151</v>
      </c>
      <c r="E28" s="275"/>
      <c r="F28" s="275"/>
      <c r="G28" s="275"/>
    </row>
    <row r="29" spans="1:7" x14ac:dyDescent="0.2">
      <c r="A29" s="275"/>
      <c r="B29" s="275"/>
      <c r="C29" s="275"/>
      <c r="D29" s="57" t="s">
        <v>152</v>
      </c>
      <c r="E29" s="275"/>
      <c r="F29" s="275"/>
      <c r="G29" s="275"/>
    </row>
    <row r="30" spans="1:7" ht="25.5" x14ac:dyDescent="0.2">
      <c r="A30" s="60">
        <v>40581</v>
      </c>
      <c r="B30" s="64" t="s">
        <v>148</v>
      </c>
      <c r="C30" s="275" t="s">
        <v>149</v>
      </c>
      <c r="D30" s="275" t="s">
        <v>150</v>
      </c>
      <c r="E30" s="277" t="s">
        <v>138</v>
      </c>
      <c r="F30" s="57" t="s">
        <v>131</v>
      </c>
      <c r="G30" s="65">
        <v>3053.45</v>
      </c>
    </row>
    <row r="31" spans="1:7" x14ac:dyDescent="0.2">
      <c r="A31" s="57" t="s">
        <v>146</v>
      </c>
      <c r="B31" s="57"/>
      <c r="C31" s="275"/>
      <c r="D31" s="275"/>
      <c r="E31" s="277"/>
      <c r="F31" s="56"/>
      <c r="G31" s="56"/>
    </row>
    <row r="32" spans="1:7" ht="14.25" customHeight="1" x14ac:dyDescent="0.2">
      <c r="A32" s="57" t="s">
        <v>147</v>
      </c>
      <c r="B32" s="64"/>
      <c r="C32" s="275"/>
      <c r="D32" s="275"/>
      <c r="E32" s="277"/>
      <c r="F32" s="56"/>
      <c r="G32" s="56"/>
    </row>
    <row r="33" spans="1:7" x14ac:dyDescent="0.2">
      <c r="A33" s="275"/>
      <c r="B33" s="275"/>
      <c r="C33" s="275"/>
      <c r="D33" s="57" t="s">
        <v>153</v>
      </c>
      <c r="E33" s="275"/>
      <c r="F33" s="275"/>
      <c r="G33" s="275"/>
    </row>
    <row r="34" spans="1:7" x14ac:dyDescent="0.2">
      <c r="A34" s="275"/>
      <c r="B34" s="275"/>
      <c r="C34" s="275"/>
      <c r="D34" s="57" t="s">
        <v>84</v>
      </c>
      <c r="E34" s="275"/>
      <c r="F34" s="275"/>
      <c r="G34" s="275"/>
    </row>
    <row r="35" spans="1:7" x14ac:dyDescent="0.2">
      <c r="A35" s="275"/>
      <c r="B35" s="275"/>
      <c r="C35" s="275"/>
      <c r="D35" s="57" t="s">
        <v>154</v>
      </c>
      <c r="E35" s="275"/>
      <c r="F35" s="275"/>
      <c r="G35" s="275"/>
    </row>
    <row r="36" spans="1:7" ht="25.5" x14ac:dyDescent="0.2">
      <c r="A36" s="60">
        <v>40581</v>
      </c>
      <c r="B36" s="64" t="s">
        <v>157</v>
      </c>
      <c r="C36" s="275" t="s">
        <v>158</v>
      </c>
      <c r="D36" s="275" t="s">
        <v>159</v>
      </c>
      <c r="E36" s="277" t="s">
        <v>138</v>
      </c>
      <c r="F36" s="57" t="s">
        <v>131</v>
      </c>
      <c r="G36" s="66">
        <v>26.64</v>
      </c>
    </row>
    <row r="37" spans="1:7" x14ac:dyDescent="0.2">
      <c r="A37" s="57" t="s">
        <v>155</v>
      </c>
      <c r="B37" s="57"/>
      <c r="C37" s="275"/>
      <c r="D37" s="275"/>
      <c r="E37" s="277"/>
      <c r="F37" s="56"/>
      <c r="G37" s="56"/>
    </row>
    <row r="38" spans="1:7" ht="12.75" customHeight="1" x14ac:dyDescent="0.2">
      <c r="A38" s="57" t="s">
        <v>156</v>
      </c>
      <c r="B38" s="64"/>
      <c r="C38" s="275"/>
      <c r="D38" s="275"/>
      <c r="E38" s="277"/>
      <c r="F38" s="56"/>
      <c r="G38" s="56"/>
    </row>
    <row r="39" spans="1:7" ht="25.5" x14ac:dyDescent="0.2">
      <c r="A39" s="275"/>
      <c r="B39" s="275"/>
      <c r="C39" s="275"/>
      <c r="D39" s="57" t="s">
        <v>160</v>
      </c>
      <c r="E39" s="275"/>
      <c r="F39" s="275"/>
      <c r="G39" s="275"/>
    </row>
    <row r="40" spans="1:7" ht="25.5" x14ac:dyDescent="0.2">
      <c r="A40" s="60">
        <v>40544</v>
      </c>
      <c r="B40" s="64" t="s">
        <v>136</v>
      </c>
      <c r="C40" s="275"/>
      <c r="D40" s="275" t="s">
        <v>137</v>
      </c>
      <c r="E40" s="277" t="s">
        <v>138</v>
      </c>
      <c r="F40" s="57" t="s">
        <v>131</v>
      </c>
      <c r="G40" s="66">
        <v>12.26</v>
      </c>
    </row>
    <row r="41" spans="1:7" x14ac:dyDescent="0.2">
      <c r="A41" s="57" t="s">
        <v>161</v>
      </c>
      <c r="B41" s="57"/>
      <c r="C41" s="275"/>
      <c r="D41" s="275"/>
      <c r="E41" s="277"/>
      <c r="F41" s="56"/>
      <c r="G41" s="56"/>
    </row>
    <row r="42" spans="1:7" ht="12.75" customHeight="1" x14ac:dyDescent="0.2">
      <c r="A42" s="57" t="s">
        <v>162</v>
      </c>
      <c r="B42" s="64"/>
      <c r="C42" s="275"/>
      <c r="D42" s="275"/>
      <c r="E42" s="277"/>
      <c r="F42" s="56"/>
      <c r="G42" s="56"/>
    </row>
    <row r="43" spans="1:7" ht="25.5" x14ac:dyDescent="0.2">
      <c r="A43" s="275"/>
      <c r="B43" s="275"/>
      <c r="C43" s="275"/>
      <c r="D43" s="57" t="s">
        <v>163</v>
      </c>
      <c r="E43" s="275"/>
      <c r="F43" s="275"/>
      <c r="G43" s="275"/>
    </row>
  </sheetData>
  <mergeCells count="44">
    <mergeCell ref="A43:C43"/>
    <mergeCell ref="E43:G43"/>
    <mergeCell ref="A39:C39"/>
    <mergeCell ref="E39:G39"/>
    <mergeCell ref="C40:C42"/>
    <mergeCell ref="D40:D42"/>
    <mergeCell ref="E40:E42"/>
    <mergeCell ref="A33:C35"/>
    <mergeCell ref="E33:G35"/>
    <mergeCell ref="C36:C38"/>
    <mergeCell ref="D36:D38"/>
    <mergeCell ref="E36:E38"/>
    <mergeCell ref="A28:C29"/>
    <mergeCell ref="E28:G29"/>
    <mergeCell ref="C30:C32"/>
    <mergeCell ref="D30:D32"/>
    <mergeCell ref="E30:E32"/>
    <mergeCell ref="A24:C24"/>
    <mergeCell ref="E24:G24"/>
    <mergeCell ref="C25:C27"/>
    <mergeCell ref="D25:D27"/>
    <mergeCell ref="E25:E27"/>
    <mergeCell ref="A20:C20"/>
    <mergeCell ref="E20:G20"/>
    <mergeCell ref="C21:C23"/>
    <mergeCell ref="D21:D23"/>
    <mergeCell ref="E21:E23"/>
    <mergeCell ref="A16:C16"/>
    <mergeCell ref="E16:G16"/>
    <mergeCell ref="C17:C19"/>
    <mergeCell ref="D17:D19"/>
    <mergeCell ref="E17:E19"/>
    <mergeCell ref="A11:C12"/>
    <mergeCell ref="E11:G12"/>
    <mergeCell ref="C13:C15"/>
    <mergeCell ref="D13:D15"/>
    <mergeCell ref="E13:E15"/>
    <mergeCell ref="F2:G2"/>
    <mergeCell ref="D3:G3"/>
    <mergeCell ref="F6:G6"/>
    <mergeCell ref="A7:G7"/>
    <mergeCell ref="C8:C10"/>
    <mergeCell ref="D8:D10"/>
    <mergeCell ref="E8:E10"/>
  </mergeCells>
  <phoneticPr fontId="6" type="noConversion"/>
  <pageMargins left="0.75" right="0.75" top="1" bottom="1" header="0.5" footer="0.5"/>
  <pageSetup paperSize="274" orientation="portrait"/>
  <headerFooter alignWithMargins="0">
    <oddFooter>&amp;L&amp;F, &amp;A&amp;R&amp;D</oddFooter>
  </headerFooter>
  <drawing r:id="rId1"/>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0"/>
  <sheetViews>
    <sheetView zoomScaleNormal="100" workbookViewId="0">
      <selection activeCell="B36" sqref="B36"/>
    </sheetView>
  </sheetViews>
  <sheetFormatPr defaultColWidth="8.85546875" defaultRowHeight="12.75" x14ac:dyDescent="0.2"/>
  <cols>
    <col min="1" max="1" width="9.28515625" bestFit="1" customWidth="1"/>
    <col min="2" max="2" width="27.42578125" bestFit="1" customWidth="1"/>
    <col min="3" max="3" width="14" style="44" bestFit="1" customWidth="1"/>
  </cols>
  <sheetData>
    <row r="1" spans="1:6" s="42" customFormat="1" ht="15.75" x14ac:dyDescent="0.25">
      <c r="A1" s="42" t="s">
        <v>114</v>
      </c>
      <c r="C1" s="43"/>
    </row>
    <row r="4" spans="1:6" x14ac:dyDescent="0.2">
      <c r="C4" s="33" t="s">
        <v>73</v>
      </c>
    </row>
    <row r="5" spans="1:6" s="54" customFormat="1" x14ac:dyDescent="0.2">
      <c r="A5" s="53"/>
      <c r="B5" s="53"/>
      <c r="C5" s="53"/>
      <c r="D5" s="53"/>
      <c r="E5" s="53"/>
      <c r="F5" s="53"/>
    </row>
    <row r="7" spans="1:6" x14ac:dyDescent="0.2">
      <c r="A7" t="s">
        <v>174</v>
      </c>
    </row>
    <row r="8" spans="1:6" x14ac:dyDescent="0.2">
      <c r="A8" t="s">
        <v>79</v>
      </c>
    </row>
    <row r="9" spans="1:6" x14ac:dyDescent="0.2">
      <c r="A9" t="s">
        <v>77</v>
      </c>
      <c r="C9" s="44">
        <f>12.44</f>
        <v>12.44</v>
      </c>
    </row>
    <row r="11" spans="1:6" x14ac:dyDescent="0.2">
      <c r="A11" t="s">
        <v>175</v>
      </c>
    </row>
    <row r="12" spans="1:6" x14ac:dyDescent="0.2">
      <c r="A12" t="s">
        <v>79</v>
      </c>
    </row>
    <row r="13" spans="1:6" x14ac:dyDescent="0.2">
      <c r="A13" t="s">
        <v>77</v>
      </c>
      <c r="C13" s="44">
        <v>12.06</v>
      </c>
    </row>
    <row r="15" spans="1:6" x14ac:dyDescent="0.2">
      <c r="A15" t="s">
        <v>176</v>
      </c>
    </row>
    <row r="16" spans="1:6" x14ac:dyDescent="0.2">
      <c r="A16" t="s">
        <v>79</v>
      </c>
    </row>
    <row r="17" spans="1:4" x14ac:dyDescent="0.2">
      <c r="A17" t="s">
        <v>77</v>
      </c>
      <c r="C17" s="44">
        <v>9.06</v>
      </c>
    </row>
    <row r="19" spans="1:4" x14ac:dyDescent="0.2">
      <c r="A19" t="s">
        <v>200</v>
      </c>
    </row>
    <row r="20" spans="1:4" x14ac:dyDescent="0.2">
      <c r="A20" t="s">
        <v>79</v>
      </c>
    </row>
    <row r="21" spans="1:4" x14ac:dyDescent="0.2">
      <c r="A21" t="s">
        <v>77</v>
      </c>
      <c r="C21" s="44">
        <v>9</v>
      </c>
      <c r="D21" t="s">
        <v>201</v>
      </c>
    </row>
    <row r="23" spans="1:4" x14ac:dyDescent="0.2">
      <c r="A23" t="s">
        <v>177</v>
      </c>
    </row>
    <row r="24" spans="1:4" x14ac:dyDescent="0.2">
      <c r="A24" t="s">
        <v>79</v>
      </c>
    </row>
    <row r="25" spans="1:4" x14ac:dyDescent="0.2">
      <c r="A25" t="s">
        <v>77</v>
      </c>
      <c r="C25" s="44">
        <v>26.64</v>
      </c>
    </row>
    <row r="27" spans="1:4" x14ac:dyDescent="0.2">
      <c r="B27" s="55"/>
    </row>
    <row r="28" spans="1:4" x14ac:dyDescent="0.2">
      <c r="A28" s="20" t="s">
        <v>207</v>
      </c>
    </row>
    <row r="29" spans="1:4" x14ac:dyDescent="0.2">
      <c r="A29" s="20" t="s">
        <v>208</v>
      </c>
      <c r="C29" s="39">
        <f>SUM(C6:C27)</f>
        <v>69.2</v>
      </c>
    </row>
    <row r="30" spans="1:4" x14ac:dyDescent="0.2">
      <c r="A30" s="20" t="s">
        <v>209</v>
      </c>
    </row>
    <row r="38" spans="3:3" s="20" customFormat="1" x14ac:dyDescent="0.2">
      <c r="C38" s="39"/>
    </row>
    <row r="39" spans="3:3" s="20" customFormat="1" x14ac:dyDescent="0.2">
      <c r="C39" s="39"/>
    </row>
    <row r="40" spans="3:3" s="20" customFormat="1" x14ac:dyDescent="0.2"/>
  </sheetData>
  <phoneticPr fontId="6" type="noConversion"/>
  <pageMargins left="0.75" right="0.75" top="1" bottom="1" header="0.5" footer="0.5"/>
  <pageSetup paperSize="274" orientation="portrait"/>
  <headerFooter alignWithMargins="0">
    <oddFooter>&amp;L&amp;F, &amp;A&amp;R&amp;D</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24"/>
  <sheetViews>
    <sheetView workbookViewId="0">
      <selection activeCell="A15" sqref="A15:IV16"/>
    </sheetView>
  </sheetViews>
  <sheetFormatPr defaultColWidth="8.85546875" defaultRowHeight="12.75" x14ac:dyDescent="0.2"/>
  <cols>
    <col min="1" max="1" width="11.28515625" customWidth="1"/>
    <col min="2" max="2" width="9.28515625" bestFit="1" customWidth="1"/>
    <col min="3" max="3" width="10.28515625" bestFit="1" customWidth="1"/>
    <col min="4" max="4" width="9.28515625" bestFit="1" customWidth="1"/>
    <col min="5" max="5" width="9.42578125" bestFit="1" customWidth="1"/>
    <col min="6" max="6" width="9.28515625" bestFit="1" customWidth="1"/>
    <col min="7" max="7" width="9.42578125" bestFit="1" customWidth="1"/>
    <col min="8" max="10" width="9.28515625" bestFit="1" customWidth="1"/>
    <col min="11" max="11" width="10.42578125" bestFit="1" customWidth="1"/>
    <col min="12" max="12" width="10.28515625" bestFit="1" customWidth="1"/>
    <col min="13" max="13" width="9.28515625" bestFit="1" customWidth="1"/>
  </cols>
  <sheetData>
    <row r="1" spans="1:13" ht="15.75" x14ac:dyDescent="0.25">
      <c r="A1" s="42" t="s">
        <v>183</v>
      </c>
    </row>
    <row r="2" spans="1:13" ht="12" customHeight="1" x14ac:dyDescent="0.2"/>
    <row r="3" spans="1:13" s="12" customFormat="1" ht="127.5" x14ac:dyDescent="0.2">
      <c r="B3" s="69" t="s">
        <v>184</v>
      </c>
      <c r="C3" s="69" t="s">
        <v>185</v>
      </c>
      <c r="D3" s="69" t="s">
        <v>186</v>
      </c>
      <c r="E3" s="69" t="s">
        <v>202</v>
      </c>
      <c r="F3" s="69" t="s">
        <v>187</v>
      </c>
      <c r="G3" s="69" t="s">
        <v>193</v>
      </c>
      <c r="H3" s="69" t="s">
        <v>188</v>
      </c>
      <c r="I3" s="69" t="s">
        <v>189</v>
      </c>
      <c r="J3" s="69" t="s">
        <v>190</v>
      </c>
      <c r="K3" s="69" t="s">
        <v>206</v>
      </c>
    </row>
    <row r="5" spans="1:13" s="20" customFormat="1" x14ac:dyDescent="0.2">
      <c r="A5" s="20" t="s">
        <v>191</v>
      </c>
      <c r="B5" s="39">
        <v>0</v>
      </c>
      <c r="C5" s="39">
        <f>+'balans 2010'!D11</f>
        <v>6086.88</v>
      </c>
      <c r="D5" s="39">
        <f>-'balans 2010'!D17</f>
        <v>-635.5</v>
      </c>
      <c r="E5" s="39"/>
      <c r="F5" s="39">
        <f>-'balans 2010'!D18</f>
        <v>-2458.5500000000002</v>
      </c>
      <c r="G5" s="39">
        <v>-2993.03</v>
      </c>
      <c r="H5" s="39"/>
      <c r="I5" s="39"/>
      <c r="J5" s="39"/>
      <c r="K5" s="39"/>
      <c r="L5" s="39">
        <f>SUM(B5:K5)</f>
        <v>-0.20000000000027285</v>
      </c>
      <c r="M5" s="39">
        <f>SUM(H5:K5)</f>
        <v>0</v>
      </c>
    </row>
    <row r="6" spans="1:13" x14ac:dyDescent="0.2">
      <c r="B6" s="32"/>
      <c r="C6" s="32"/>
      <c r="D6" s="32"/>
      <c r="E6" s="32"/>
      <c r="F6" s="32"/>
      <c r="G6" s="32"/>
      <c r="H6" s="32"/>
      <c r="I6" s="32"/>
      <c r="J6" s="32"/>
      <c r="K6" s="32"/>
      <c r="L6" s="32"/>
      <c r="M6" s="32"/>
    </row>
    <row r="7" spans="1:13" x14ac:dyDescent="0.2">
      <c r="A7" t="s">
        <v>192</v>
      </c>
      <c r="B7" s="32"/>
      <c r="C7" s="32">
        <f>+C5+SUM(D7:G7)-SUM(H7:J7)</f>
        <v>3067.2100000000005</v>
      </c>
      <c r="D7" s="32"/>
      <c r="E7" s="32"/>
      <c r="F7" s="32"/>
      <c r="G7" s="32">
        <f>60.42-3053.45</f>
        <v>-2993.0299999999997</v>
      </c>
      <c r="H7" s="32"/>
      <c r="I7" s="32"/>
      <c r="J7" s="32">
        <v>26.64</v>
      </c>
      <c r="K7" s="32"/>
      <c r="L7" s="32"/>
      <c r="M7" s="32">
        <f>SUM(H7:K7)</f>
        <v>26.64</v>
      </c>
    </row>
    <row r="8" spans="1:13" x14ac:dyDescent="0.2">
      <c r="A8" t="s">
        <v>195</v>
      </c>
      <c r="B8" s="32"/>
      <c r="C8" s="32">
        <f>+C7+SUM(D8:G8)-SUM(H8:J8)</f>
        <v>3054.7700000000004</v>
      </c>
      <c r="D8" s="32"/>
      <c r="E8" s="32"/>
      <c r="F8" s="32"/>
      <c r="G8" s="32"/>
      <c r="H8" s="32"/>
      <c r="I8" s="32"/>
      <c r="J8" s="32">
        <v>12.44</v>
      </c>
      <c r="K8" s="32"/>
      <c r="L8" s="32"/>
      <c r="M8" s="32">
        <f>SUM(H8:K8)</f>
        <v>12.44</v>
      </c>
    </row>
    <row r="9" spans="1:13" x14ac:dyDescent="0.2">
      <c r="A9" t="s">
        <v>196</v>
      </c>
      <c r="B9" s="32"/>
      <c r="C9" s="32">
        <f>+C8+SUM(D9:G9)-SUM(H9:J9)</f>
        <v>3042.7100000000005</v>
      </c>
      <c r="D9" s="32"/>
      <c r="E9" s="32"/>
      <c r="F9" s="32"/>
      <c r="G9" s="32"/>
      <c r="H9" s="32"/>
      <c r="I9" s="32"/>
      <c r="J9" s="32">
        <v>12.06</v>
      </c>
      <c r="K9" s="32"/>
      <c r="L9" s="32"/>
      <c r="M9" s="32">
        <f>SUM(H9:K9)</f>
        <v>12.06</v>
      </c>
    </row>
    <row r="10" spans="1:13" x14ac:dyDescent="0.2">
      <c r="A10" t="s">
        <v>197</v>
      </c>
      <c r="B10" s="32"/>
      <c r="C10" s="32">
        <f>+C9+SUM(D10:G10)-SUM(H10:J10)</f>
        <v>3033.6500000000005</v>
      </c>
      <c r="D10" s="32"/>
      <c r="E10" s="32"/>
      <c r="F10" s="32"/>
      <c r="G10" s="32"/>
      <c r="H10" s="32"/>
      <c r="I10" s="32"/>
      <c r="J10" s="32">
        <v>9.06</v>
      </c>
      <c r="K10" s="32"/>
      <c r="L10" s="32"/>
      <c r="M10" s="32">
        <f>SUM(H10:K10)</f>
        <v>9.06</v>
      </c>
    </row>
    <row r="11" spans="1:13" x14ac:dyDescent="0.2">
      <c r="A11" t="s">
        <v>198</v>
      </c>
      <c r="B11" s="32"/>
      <c r="C11" s="32">
        <f>+C10+SUM(D11:G11)-SUM(H11:J11)</f>
        <v>10533.650000000001</v>
      </c>
      <c r="D11" s="32"/>
      <c r="E11" s="32"/>
      <c r="F11" s="32"/>
      <c r="G11" s="32"/>
      <c r="H11" s="32">
        <v>-7500</v>
      </c>
      <c r="I11" s="32"/>
      <c r="J11" s="32"/>
      <c r="K11" s="32"/>
      <c r="L11" s="32"/>
      <c r="M11" s="32">
        <f>SUM(H11:K11)</f>
        <v>-7500</v>
      </c>
    </row>
    <row r="12" spans="1:13" x14ac:dyDescent="0.2">
      <c r="B12" s="32"/>
      <c r="C12" s="32"/>
      <c r="D12" s="32"/>
      <c r="E12" s="32"/>
      <c r="F12" s="32"/>
      <c r="G12" s="32"/>
      <c r="H12" s="32"/>
      <c r="I12" s="32"/>
      <c r="J12" s="32"/>
      <c r="K12" s="32"/>
      <c r="L12" s="32"/>
      <c r="M12" s="32"/>
    </row>
    <row r="13" spans="1:13" x14ac:dyDescent="0.2">
      <c r="A13" t="s">
        <v>203</v>
      </c>
      <c r="B13" s="32">
        <f>SUM(B5:B12)</f>
        <v>0</v>
      </c>
      <c r="C13" s="32">
        <f>+C11</f>
        <v>10533.650000000001</v>
      </c>
      <c r="D13" s="32">
        <f>SUM(D5:D12)</f>
        <v>-635.5</v>
      </c>
      <c r="E13" s="32"/>
      <c r="F13" s="32">
        <f>SUM(F5:F12)</f>
        <v>-2458.5500000000002</v>
      </c>
      <c r="G13" s="32">
        <f>+G5-SUM(G7:G12)</f>
        <v>0</v>
      </c>
      <c r="H13" s="32">
        <f>SUM(H7:H11)</f>
        <v>-7500</v>
      </c>
      <c r="I13" s="32">
        <f>SUM(I7:I11)</f>
        <v>0</v>
      </c>
      <c r="J13" s="32">
        <f>SUM(J7:J11)</f>
        <v>60.2</v>
      </c>
      <c r="K13" s="32"/>
      <c r="L13" s="32"/>
      <c r="M13" s="32">
        <f>SUM(M5:M11)</f>
        <v>-7439.8</v>
      </c>
    </row>
    <row r="14" spans="1:13" x14ac:dyDescent="0.2">
      <c r="A14" s="20" t="s">
        <v>199</v>
      </c>
      <c r="B14" s="32"/>
      <c r="C14" s="32"/>
      <c r="D14" s="32"/>
      <c r="E14" s="32"/>
      <c r="F14" s="32"/>
      <c r="G14" s="32"/>
      <c r="H14" s="32"/>
      <c r="I14" s="32"/>
      <c r="J14" s="32"/>
      <c r="K14" s="32"/>
      <c r="L14" s="32"/>
      <c r="M14" s="32"/>
    </row>
    <row r="15" spans="1:13" x14ac:dyDescent="0.2">
      <c r="B15" s="32">
        <f>+'overloop 2011'!C29</f>
        <v>69.2</v>
      </c>
      <c r="C15" s="32"/>
      <c r="D15" s="32"/>
      <c r="E15" s="32"/>
      <c r="F15" s="32"/>
      <c r="G15" s="32"/>
      <c r="H15" s="32"/>
      <c r="I15" s="32">
        <v>-69.2</v>
      </c>
      <c r="J15" s="32"/>
      <c r="K15" s="32"/>
      <c r="L15" s="32">
        <f>SUM(B15:K15)</f>
        <v>0</v>
      </c>
      <c r="M15" s="32"/>
    </row>
    <row r="16" spans="1:13" x14ac:dyDescent="0.2">
      <c r="B16" s="32"/>
      <c r="C16" s="32"/>
      <c r="D16" s="32"/>
      <c r="E16" s="32"/>
      <c r="F16" s="32"/>
      <c r="G16" s="32">
        <v>-9</v>
      </c>
      <c r="H16" s="32"/>
      <c r="I16" s="32"/>
      <c r="J16" s="32">
        <v>9</v>
      </c>
      <c r="K16" s="32"/>
      <c r="L16" s="32">
        <f t="shared" ref="L16:L24" si="0">SUM(B16:K16)</f>
        <v>0</v>
      </c>
      <c r="M16" s="32"/>
    </row>
    <row r="17" spans="1:13" x14ac:dyDescent="0.2">
      <c r="B17" s="32"/>
      <c r="C17" s="32"/>
      <c r="D17" s="32"/>
      <c r="E17" s="32">
        <f>-'winst en verlies 2011'!H66</f>
        <v>-3130</v>
      </c>
      <c r="F17" s="32"/>
      <c r="G17" s="32">
        <f>-'winst en verlies 2011'!H59-'winst en verlies 2011'!H60-'winst en verlies 2011'!H61</f>
        <v>-6870</v>
      </c>
      <c r="H17" s="32"/>
      <c r="I17" s="32"/>
      <c r="J17" s="32"/>
      <c r="K17" s="32">
        <f>+'winst en verlies 2011'!H51</f>
        <v>10000</v>
      </c>
      <c r="L17" s="32">
        <f>SUM(B17:K17)</f>
        <v>0</v>
      </c>
      <c r="M17" s="32"/>
    </row>
    <row r="18" spans="1:13" x14ac:dyDescent="0.2">
      <c r="B18" s="32"/>
      <c r="C18" s="32"/>
      <c r="D18" s="32"/>
      <c r="E18" s="32"/>
      <c r="F18" s="32"/>
      <c r="G18" s="32"/>
      <c r="H18" s="32"/>
      <c r="I18" s="32"/>
      <c r="J18" s="32"/>
      <c r="K18" s="32"/>
      <c r="L18" s="32">
        <f t="shared" si="0"/>
        <v>0</v>
      </c>
      <c r="M18" s="32"/>
    </row>
    <row r="19" spans="1:13" x14ac:dyDescent="0.2">
      <c r="A19" t="s">
        <v>194</v>
      </c>
      <c r="B19" s="32">
        <f>SUM(B13:B18)</f>
        <v>69.2</v>
      </c>
      <c r="C19" s="32">
        <f t="shared" ref="C19:K19" si="1">SUM(C13:C18)</f>
        <v>10533.650000000001</v>
      </c>
      <c r="D19" s="32">
        <f t="shared" si="1"/>
        <v>-635.5</v>
      </c>
      <c r="E19" s="32">
        <f t="shared" si="1"/>
        <v>-3130</v>
      </c>
      <c r="F19" s="32">
        <f t="shared" si="1"/>
        <v>-2458.5500000000002</v>
      </c>
      <c r="G19" s="32">
        <f t="shared" si="1"/>
        <v>-6879</v>
      </c>
      <c r="H19" s="32">
        <f t="shared" si="1"/>
        <v>-7500</v>
      </c>
      <c r="I19" s="32">
        <f t="shared" si="1"/>
        <v>-69.2</v>
      </c>
      <c r="J19" s="32">
        <f t="shared" si="1"/>
        <v>69.2</v>
      </c>
      <c r="K19" s="32">
        <f t="shared" si="1"/>
        <v>10000</v>
      </c>
      <c r="L19" s="32">
        <f t="shared" si="0"/>
        <v>-0.19999999999708962</v>
      </c>
      <c r="M19" s="32"/>
    </row>
    <row r="20" spans="1:13" x14ac:dyDescent="0.2">
      <c r="B20" s="32"/>
      <c r="C20" s="32"/>
      <c r="D20" s="32"/>
      <c r="E20" s="32"/>
      <c r="F20" s="32"/>
      <c r="G20" s="32"/>
      <c r="H20" s="32"/>
      <c r="I20" s="32"/>
      <c r="J20" s="32"/>
      <c r="K20" s="32"/>
      <c r="L20" s="32">
        <f t="shared" si="0"/>
        <v>0</v>
      </c>
      <c r="M20" s="32"/>
    </row>
    <row r="21" spans="1:13" x14ac:dyDescent="0.2">
      <c r="B21" s="32"/>
      <c r="C21" s="32"/>
      <c r="D21" s="32"/>
      <c r="E21" s="32"/>
      <c r="F21" s="32"/>
      <c r="G21" s="32"/>
      <c r="H21" s="32"/>
      <c r="I21" s="32"/>
      <c r="J21" s="32"/>
      <c r="K21" s="32"/>
      <c r="L21" s="32">
        <f t="shared" si="0"/>
        <v>0</v>
      </c>
      <c r="M21" s="32"/>
    </row>
    <row r="22" spans="1:13" x14ac:dyDescent="0.2">
      <c r="A22" t="s">
        <v>204</v>
      </c>
      <c r="B22" s="32">
        <f>SUM(B19:G19)</f>
        <v>-2500.199999999998</v>
      </c>
      <c r="C22" s="32"/>
      <c r="D22" s="32"/>
      <c r="E22" s="32"/>
      <c r="F22" s="32"/>
      <c r="G22" s="32"/>
      <c r="H22" s="32">
        <f>SUM(H19:K19)</f>
        <v>2500</v>
      </c>
      <c r="I22" s="32"/>
      <c r="J22" s="32"/>
      <c r="K22" s="32"/>
      <c r="L22" s="32">
        <f t="shared" si="0"/>
        <v>-0.19999999999799911</v>
      </c>
      <c r="M22" s="32"/>
    </row>
    <row r="23" spans="1:13" x14ac:dyDescent="0.2">
      <c r="B23" s="32"/>
      <c r="C23" s="32"/>
      <c r="D23" s="32"/>
      <c r="E23" s="32"/>
      <c r="F23" s="32"/>
      <c r="G23" s="32"/>
      <c r="H23" s="32"/>
      <c r="I23" s="32"/>
      <c r="J23" s="32"/>
      <c r="K23" s="32"/>
      <c r="L23" s="32">
        <f t="shared" si="0"/>
        <v>0</v>
      </c>
      <c r="M23" s="32"/>
    </row>
    <row r="24" spans="1:13" x14ac:dyDescent="0.2">
      <c r="B24" s="32"/>
      <c r="C24" s="32"/>
      <c r="D24" s="32"/>
      <c r="E24" s="32"/>
      <c r="F24" s="32"/>
      <c r="G24" s="32"/>
      <c r="H24" s="32"/>
      <c r="I24" s="32"/>
      <c r="J24" s="32"/>
      <c r="K24" s="32"/>
      <c r="L24" s="32">
        <f t="shared" si="0"/>
        <v>0</v>
      </c>
      <c r="M24" s="32"/>
    </row>
  </sheetData>
  <phoneticPr fontId="6" type="noConversion"/>
  <pageMargins left="0.75" right="0.75" top="1" bottom="1" header="0.5" footer="0.5"/>
  <pageSetup paperSize="274" orientation="landscape"/>
  <headerFooter alignWithMargins="0">
    <oddFooter>&amp;L&amp;F, &amp;A&amp;R&amp;D</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30"/>
  <sheetViews>
    <sheetView zoomScaleNormal="100" workbookViewId="0">
      <selection activeCell="D11" sqref="D11"/>
    </sheetView>
  </sheetViews>
  <sheetFormatPr defaultColWidth="8.85546875" defaultRowHeight="12.75" x14ac:dyDescent="0.2"/>
  <cols>
    <col min="1" max="1" width="6.42578125" customWidth="1"/>
    <col min="3" max="3" width="40.28515625" customWidth="1"/>
    <col min="6" max="6" width="2.42578125" customWidth="1"/>
  </cols>
  <sheetData>
    <row r="1" spans="1:8" ht="20.25" x14ac:dyDescent="0.3">
      <c r="A1" s="10" t="s">
        <v>69</v>
      </c>
    </row>
    <row r="3" spans="1:8" x14ac:dyDescent="0.2">
      <c r="D3" s="264">
        <v>40543</v>
      </c>
      <c r="E3" s="264"/>
      <c r="F3" s="34"/>
      <c r="G3" s="264">
        <v>40178</v>
      </c>
      <c r="H3" s="264"/>
    </row>
    <row r="4" spans="1:8" x14ac:dyDescent="0.2">
      <c r="D4" s="248" t="s">
        <v>73</v>
      </c>
      <c r="E4" s="248"/>
      <c r="F4" s="35"/>
      <c r="G4" s="248" t="s">
        <v>73</v>
      </c>
      <c r="H4" s="248"/>
    </row>
    <row r="5" spans="1:8" ht="15.75" x14ac:dyDescent="0.25">
      <c r="A5" s="2" t="s">
        <v>21</v>
      </c>
      <c r="D5" s="5"/>
      <c r="E5" s="8"/>
      <c r="F5" s="7"/>
      <c r="G5" s="5"/>
      <c r="H5" s="8"/>
    </row>
    <row r="6" spans="1:8" s="12" customFormat="1" ht="19.5" customHeight="1" x14ac:dyDescent="0.2">
      <c r="A6" s="11" t="s">
        <v>23</v>
      </c>
      <c r="D6" s="13"/>
      <c r="E6" s="14"/>
      <c r="F6" s="36"/>
      <c r="G6" s="13"/>
      <c r="H6" s="14"/>
    </row>
    <row r="7" spans="1:8" x14ac:dyDescent="0.2">
      <c r="A7" t="s">
        <v>25</v>
      </c>
      <c r="D7" s="5"/>
      <c r="E7" s="8">
        <v>0</v>
      </c>
      <c r="F7" s="7"/>
      <c r="G7" s="5"/>
      <c r="H7" s="8">
        <v>0</v>
      </c>
    </row>
    <row r="8" spans="1:8" x14ac:dyDescent="0.2">
      <c r="D8" s="5"/>
      <c r="E8" s="8"/>
      <c r="F8" s="7"/>
      <c r="G8" s="5"/>
      <c r="H8" s="8"/>
    </row>
    <row r="9" spans="1:8" s="12" customFormat="1" ht="19.5" customHeight="1" x14ac:dyDescent="0.2">
      <c r="A9" s="11" t="s">
        <v>24</v>
      </c>
      <c r="D9" s="13"/>
      <c r="E9" s="14"/>
      <c r="F9" s="36"/>
      <c r="G9" s="13"/>
      <c r="H9" s="14"/>
    </row>
    <row r="10" spans="1:8" x14ac:dyDescent="0.2">
      <c r="A10" t="s">
        <v>26</v>
      </c>
      <c r="D10" s="5">
        <v>0</v>
      </c>
      <c r="E10" s="15"/>
      <c r="F10" s="26"/>
      <c r="G10" s="5">
        <v>0</v>
      </c>
      <c r="H10" s="15"/>
    </row>
    <row r="11" spans="1:8" ht="13.5" thickBot="1" x14ac:dyDescent="0.25">
      <c r="A11" t="s">
        <v>70</v>
      </c>
      <c r="D11" s="6">
        <v>6086.88</v>
      </c>
      <c r="E11" s="8"/>
      <c r="F11" s="7"/>
      <c r="G11" s="6">
        <v>635.5</v>
      </c>
      <c r="H11" s="8"/>
    </row>
    <row r="12" spans="1:8" ht="13.5" thickBot="1" x14ac:dyDescent="0.25">
      <c r="D12" s="5"/>
      <c r="E12" s="16">
        <f>+D11+D10</f>
        <v>6086.88</v>
      </c>
      <c r="F12" s="7"/>
      <c r="G12" s="5"/>
      <c r="H12" s="16">
        <v>635.5</v>
      </c>
    </row>
    <row r="13" spans="1:8" ht="19.5" customHeight="1" x14ac:dyDescent="0.2">
      <c r="A13" s="3"/>
      <c r="C13" s="29" t="s">
        <v>55</v>
      </c>
      <c r="D13" s="7"/>
      <c r="E13" s="18">
        <f>+E12+E7</f>
        <v>6086.88</v>
      </c>
      <c r="F13" s="37"/>
      <c r="G13" s="7"/>
      <c r="H13" s="18">
        <v>635.5</v>
      </c>
    </row>
    <row r="14" spans="1:8" x14ac:dyDescent="0.2">
      <c r="D14" s="5"/>
      <c r="E14" s="8"/>
      <c r="F14" s="7"/>
      <c r="G14" s="5"/>
      <c r="H14" s="8"/>
    </row>
    <row r="15" spans="1:8" ht="15.75" x14ac:dyDescent="0.25">
      <c r="A15" s="2" t="s">
        <v>22</v>
      </c>
      <c r="D15" s="5"/>
      <c r="E15" s="8"/>
      <c r="F15" s="7"/>
      <c r="G15" s="5"/>
      <c r="H15" s="8"/>
    </row>
    <row r="16" spans="1:8" ht="19.5" customHeight="1" x14ac:dyDescent="0.2">
      <c r="A16" s="11" t="s">
        <v>29</v>
      </c>
      <c r="D16" s="5"/>
      <c r="E16" s="8"/>
      <c r="F16" s="7"/>
      <c r="G16" s="5"/>
      <c r="H16" s="8"/>
    </row>
    <row r="17" spans="1:8" x14ac:dyDescent="0.2">
      <c r="A17" t="s">
        <v>28</v>
      </c>
      <c r="D17" s="5">
        <f>+'winst en verlies 2009'!D30</f>
        <v>635.5</v>
      </c>
      <c r="E17" s="8"/>
      <c r="F17" s="7"/>
      <c r="G17" s="5">
        <v>635.5</v>
      </c>
      <c r="H17" s="8"/>
    </row>
    <row r="18" spans="1:8" ht="13.5" thickBot="1" x14ac:dyDescent="0.25">
      <c r="A18" t="s">
        <v>17</v>
      </c>
      <c r="D18" s="6">
        <f>+'winst en verlies 2010'!D29</f>
        <v>2458.5500000000002</v>
      </c>
      <c r="E18" s="8"/>
      <c r="F18" s="7"/>
      <c r="G18" s="6">
        <v>0</v>
      </c>
      <c r="H18" s="8"/>
    </row>
    <row r="19" spans="1:8" s="12" customFormat="1" ht="13.5" customHeight="1" x14ac:dyDescent="0.2">
      <c r="D19" s="13"/>
      <c r="E19" s="49">
        <f>+D18+D17</f>
        <v>3094.05</v>
      </c>
      <c r="F19" s="50"/>
      <c r="G19" s="50"/>
      <c r="H19" s="49">
        <v>635.5</v>
      </c>
    </row>
    <row r="20" spans="1:8" x14ac:dyDescent="0.2">
      <c r="D20" s="5"/>
      <c r="E20" s="8"/>
      <c r="F20" s="7"/>
      <c r="G20" s="5"/>
      <c r="H20" s="8"/>
    </row>
    <row r="21" spans="1:8" s="12" customFormat="1" ht="19.5" customHeight="1" thickBot="1" x14ac:dyDescent="0.25">
      <c r="A21" s="11" t="s">
        <v>30</v>
      </c>
      <c r="D21" s="13"/>
      <c r="E21" s="51">
        <f>+'winst en verlies 2010'!H63</f>
        <v>2993.0299999999997</v>
      </c>
      <c r="F21" s="36"/>
      <c r="G21" s="13"/>
      <c r="H21" s="17">
        <v>0</v>
      </c>
    </row>
    <row r="22" spans="1:8" ht="19.5" customHeight="1" x14ac:dyDescent="0.2">
      <c r="C22" s="29" t="s">
        <v>55</v>
      </c>
      <c r="D22" s="5"/>
      <c r="E22" s="18">
        <f>+E19+E21</f>
        <v>6087.08</v>
      </c>
      <c r="F22" s="37"/>
      <c r="G22" s="5"/>
      <c r="H22" s="18">
        <v>635.5</v>
      </c>
    </row>
    <row r="23" spans="1:8" ht="19.5" customHeight="1" x14ac:dyDescent="0.2">
      <c r="D23" s="5"/>
      <c r="E23" s="18"/>
      <c r="F23" s="37"/>
      <c r="G23" s="5"/>
      <c r="H23" s="18"/>
    </row>
    <row r="24" spans="1:8" ht="19.5" customHeight="1" x14ac:dyDescent="0.2">
      <c r="D24" s="5"/>
      <c r="E24" s="18"/>
      <c r="F24" s="37"/>
      <c r="G24" s="5"/>
      <c r="H24" s="18"/>
    </row>
    <row r="25" spans="1:8" x14ac:dyDescent="0.2">
      <c r="D25" s="5"/>
      <c r="E25" s="7"/>
      <c r="F25" s="7"/>
      <c r="G25" s="5"/>
      <c r="H25" s="7"/>
    </row>
    <row r="26" spans="1:8" x14ac:dyDescent="0.2">
      <c r="D26" s="5"/>
      <c r="E26" s="7"/>
      <c r="F26" s="7"/>
      <c r="G26" s="5"/>
      <c r="H26" s="7"/>
    </row>
    <row r="28" spans="1:8" x14ac:dyDescent="0.2">
      <c r="A28" t="s">
        <v>31</v>
      </c>
      <c r="C28" t="s">
        <v>112</v>
      </c>
      <c r="E28" s="22"/>
      <c r="F28" s="22"/>
      <c r="H28" s="22"/>
    </row>
    <row r="29" spans="1:8" x14ac:dyDescent="0.2">
      <c r="A29" t="s">
        <v>34</v>
      </c>
    </row>
    <row r="30" spans="1:8" x14ac:dyDescent="0.2">
      <c r="A30" t="s">
        <v>33</v>
      </c>
    </row>
  </sheetData>
  <mergeCells count="4">
    <mergeCell ref="D3:E3"/>
    <mergeCell ref="G3:H3"/>
    <mergeCell ref="D4:E4"/>
    <mergeCell ref="G4:H4"/>
  </mergeCells>
  <phoneticPr fontId="6" type="noConversion"/>
  <pageMargins left="0.75" right="0.75" top="1" bottom="1" header="0.5" footer="0.5"/>
  <pageSetup paperSize="9" scale="98" orientation="landscape"/>
  <headerFooter alignWithMargins="0">
    <oddHeader>&amp;L&amp;"Arial,Vet"&amp;16Stichting Drie Wassende Manen</oddHeader>
    <oddFooter>&amp;L&amp;F, &amp;A&amp;R&amp;D &amp;T</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76"/>
  <sheetViews>
    <sheetView zoomScaleNormal="100" workbookViewId="0">
      <selection activeCell="P9" sqref="P9"/>
    </sheetView>
  </sheetViews>
  <sheetFormatPr defaultColWidth="8.85546875" defaultRowHeight="12.75" x14ac:dyDescent="0.2"/>
  <cols>
    <col min="1" max="1" width="6.42578125" customWidth="1"/>
    <col min="3" max="3" width="18.85546875" customWidth="1"/>
    <col min="6" max="6" width="2.42578125" customWidth="1"/>
    <col min="7" max="7" width="9.140625" style="5" customWidth="1"/>
    <col min="9" max="9" width="2.85546875" customWidth="1"/>
    <col min="10" max="10" width="9.140625" style="5" customWidth="1"/>
    <col min="11" max="11" width="9.28515625" bestFit="1" customWidth="1"/>
    <col min="12" max="12" width="20.42578125" customWidth="1"/>
  </cols>
  <sheetData>
    <row r="1" spans="1:11" ht="20.25" x14ac:dyDescent="0.3">
      <c r="A1" s="10" t="s">
        <v>74</v>
      </c>
    </row>
    <row r="3" spans="1:11" x14ac:dyDescent="0.2">
      <c r="D3" s="251" t="s">
        <v>75</v>
      </c>
      <c r="E3" s="236"/>
      <c r="F3" s="27"/>
      <c r="G3" s="271" t="s">
        <v>19</v>
      </c>
      <c r="H3" s="236"/>
      <c r="J3" s="251" t="s">
        <v>41</v>
      </c>
      <c r="K3" s="236"/>
    </row>
    <row r="4" spans="1:11" x14ac:dyDescent="0.2">
      <c r="D4" s="232" t="s">
        <v>73</v>
      </c>
      <c r="E4" s="231"/>
      <c r="F4" s="28"/>
      <c r="G4" s="232" t="s">
        <v>73</v>
      </c>
      <c r="H4" s="231"/>
      <c r="J4" s="232" t="s">
        <v>73</v>
      </c>
      <c r="K4" s="231"/>
    </row>
    <row r="5" spans="1:11" ht="15.75" x14ac:dyDescent="0.25">
      <c r="A5" s="2" t="s">
        <v>0</v>
      </c>
      <c r="D5" s="5"/>
      <c r="E5" s="8"/>
      <c r="F5" s="7"/>
      <c r="H5" s="8"/>
      <c r="K5" s="8"/>
    </row>
    <row r="6" spans="1:11" x14ac:dyDescent="0.2">
      <c r="A6" t="s">
        <v>11</v>
      </c>
      <c r="E6" s="8"/>
      <c r="F6" s="7"/>
      <c r="H6" s="8"/>
      <c r="K6" s="8"/>
    </row>
    <row r="7" spans="1:11" x14ac:dyDescent="0.2">
      <c r="A7" t="s">
        <v>1</v>
      </c>
      <c r="D7" s="5">
        <v>0</v>
      </c>
      <c r="E7" s="8"/>
      <c r="F7" s="7"/>
      <c r="G7" s="5">
        <v>0</v>
      </c>
      <c r="H7" s="8"/>
      <c r="J7" s="5">
        <v>0</v>
      </c>
      <c r="K7" s="8"/>
    </row>
    <row r="8" spans="1:11" x14ac:dyDescent="0.2">
      <c r="A8" t="s">
        <v>2</v>
      </c>
      <c r="D8" s="5">
        <v>7500</v>
      </c>
      <c r="E8" s="8"/>
      <c r="F8" s="7"/>
      <c r="G8" s="5">
        <v>7500</v>
      </c>
      <c r="H8" s="8"/>
      <c r="J8" s="5">
        <v>7500</v>
      </c>
      <c r="K8" s="8"/>
    </row>
    <row r="9" spans="1:11" ht="13.5" thickBot="1" x14ac:dyDescent="0.25">
      <c r="A9" t="s">
        <v>57</v>
      </c>
      <c r="D9" s="6">
        <f>-H61-H62+H56</f>
        <v>86.56</v>
      </c>
      <c r="E9" s="8"/>
      <c r="F9" s="7"/>
      <c r="G9" s="6">
        <f>+'meerjarenbegroting '!F8</f>
        <v>100</v>
      </c>
      <c r="H9" s="8"/>
      <c r="J9" s="6" t="s">
        <v>42</v>
      </c>
      <c r="K9" s="8"/>
    </row>
    <row r="10" spans="1:11" ht="19.5" customHeight="1" x14ac:dyDescent="0.2">
      <c r="A10" s="3" t="s">
        <v>3</v>
      </c>
      <c r="D10" s="7"/>
      <c r="E10" s="8">
        <f>SUM(D7:D9)</f>
        <v>7586.56</v>
      </c>
      <c r="F10" s="7"/>
      <c r="G10" s="7"/>
      <c r="H10" s="8">
        <f>SUM(G7:G9)</f>
        <v>7600</v>
      </c>
      <c r="J10" s="7"/>
      <c r="K10" s="8">
        <v>7500</v>
      </c>
    </row>
    <row r="11" spans="1:11" x14ac:dyDescent="0.2">
      <c r="D11" s="5"/>
      <c r="E11" s="8"/>
      <c r="F11" s="7"/>
      <c r="H11" s="8"/>
      <c r="K11" s="8"/>
    </row>
    <row r="12" spans="1:11" x14ac:dyDescent="0.2">
      <c r="A12" t="s">
        <v>4</v>
      </c>
      <c r="D12" s="5">
        <v>0</v>
      </c>
      <c r="E12" s="8"/>
      <c r="F12" s="7"/>
      <c r="G12" s="5">
        <v>0</v>
      </c>
      <c r="H12" s="8"/>
      <c r="J12" s="5">
        <v>0</v>
      </c>
      <c r="K12" s="8"/>
    </row>
    <row r="13" spans="1:11" ht="13.5" thickBot="1" x14ac:dyDescent="0.25">
      <c r="A13" t="s">
        <v>5</v>
      </c>
      <c r="D13" s="6">
        <v>0</v>
      </c>
      <c r="E13" s="8"/>
      <c r="F13" s="7"/>
      <c r="G13" s="6">
        <v>0</v>
      </c>
      <c r="H13" s="8"/>
      <c r="J13" s="6">
        <v>0</v>
      </c>
      <c r="K13" s="8"/>
    </row>
    <row r="14" spans="1:11" ht="19.5" customHeight="1" x14ac:dyDescent="0.2">
      <c r="A14" s="3" t="s">
        <v>6</v>
      </c>
      <c r="D14" s="7"/>
      <c r="E14" s="8">
        <f>-SUM(D12:D13)</f>
        <v>0</v>
      </c>
      <c r="F14" s="7"/>
      <c r="G14" s="7"/>
      <c r="H14" s="8">
        <f>-SUM(G12:G13)</f>
        <v>0</v>
      </c>
      <c r="J14" s="7"/>
      <c r="K14" s="8">
        <v>0</v>
      </c>
    </row>
    <row r="15" spans="1:11" ht="13.5" thickBot="1" x14ac:dyDescent="0.25">
      <c r="A15" t="s">
        <v>14</v>
      </c>
      <c r="D15" s="5"/>
      <c r="E15" s="19">
        <f>+E14/E10</f>
        <v>0</v>
      </c>
      <c r="F15" s="26"/>
      <c r="H15" s="19">
        <f>+H14/H10</f>
        <v>0</v>
      </c>
      <c r="K15" s="19">
        <v>0</v>
      </c>
    </row>
    <row r="16" spans="1:11" ht="19.5" customHeight="1" x14ac:dyDescent="0.2">
      <c r="A16" s="3" t="s">
        <v>8</v>
      </c>
      <c r="D16" s="7"/>
      <c r="E16" s="8">
        <f>+E10+E14</f>
        <v>7586.56</v>
      </c>
      <c r="F16" s="7"/>
      <c r="G16" s="7"/>
      <c r="H16" s="8">
        <f>+H10+H14</f>
        <v>7600</v>
      </c>
      <c r="J16" s="7"/>
      <c r="K16" s="8">
        <v>7500</v>
      </c>
    </row>
    <row r="17" spans="1:13" ht="13.5" thickBot="1" x14ac:dyDescent="0.25">
      <c r="A17" t="s">
        <v>7</v>
      </c>
      <c r="D17" s="5"/>
      <c r="E17" s="16">
        <v>0</v>
      </c>
      <c r="F17" s="7"/>
      <c r="H17" s="16">
        <v>0</v>
      </c>
      <c r="K17" s="16">
        <v>0</v>
      </c>
    </row>
    <row r="18" spans="1:13" ht="19.5" customHeight="1" x14ac:dyDescent="0.2">
      <c r="A18" s="3" t="s">
        <v>9</v>
      </c>
      <c r="D18" s="7"/>
      <c r="E18" s="8">
        <f>+E17+E16</f>
        <v>7586.56</v>
      </c>
      <c r="F18" s="7"/>
      <c r="G18" s="7"/>
      <c r="H18" s="8">
        <f>+H17+H16</f>
        <v>7600</v>
      </c>
      <c r="J18" s="7"/>
      <c r="K18" s="8">
        <v>7500</v>
      </c>
    </row>
    <row r="19" spans="1:13" x14ac:dyDescent="0.2">
      <c r="D19" s="5"/>
      <c r="E19" s="8"/>
      <c r="F19" s="7"/>
      <c r="H19" s="8"/>
      <c r="K19" s="8"/>
    </row>
    <row r="20" spans="1:13" ht="15.75" x14ac:dyDescent="0.25">
      <c r="A20" s="2" t="s">
        <v>10</v>
      </c>
      <c r="D20" s="5"/>
      <c r="E20" s="8"/>
      <c r="F20" s="7"/>
      <c r="H20" s="8"/>
      <c r="K20" s="8"/>
    </row>
    <row r="21" spans="1:13" x14ac:dyDescent="0.2">
      <c r="A21" t="s">
        <v>12</v>
      </c>
      <c r="D21" s="5">
        <f>+H52</f>
        <v>5053.45</v>
      </c>
      <c r="E21" s="8"/>
      <c r="F21" s="7"/>
      <c r="G21" s="5">
        <v>7500</v>
      </c>
      <c r="H21" s="8"/>
      <c r="J21" s="5">
        <v>6852.5</v>
      </c>
      <c r="K21" s="8"/>
    </row>
    <row r="22" spans="1:13" ht="13.5" thickBot="1" x14ac:dyDescent="0.25">
      <c r="A22" t="s">
        <v>5</v>
      </c>
      <c r="D22" s="6">
        <f>+H57</f>
        <v>74.56</v>
      </c>
      <c r="E22" s="8"/>
      <c r="F22" s="7"/>
      <c r="G22" s="6">
        <f>+'meerjarenbegroting '!F21</f>
        <v>100</v>
      </c>
      <c r="H22" s="8"/>
      <c r="J22" s="6">
        <v>12</v>
      </c>
      <c r="K22" s="8"/>
      <c r="M22" s="52"/>
    </row>
    <row r="23" spans="1:13" x14ac:dyDescent="0.2">
      <c r="D23" s="5"/>
      <c r="E23" s="8"/>
      <c r="F23" s="7"/>
      <c r="H23" s="8"/>
      <c r="K23" s="8"/>
    </row>
    <row r="24" spans="1:13" ht="19.5" customHeight="1" x14ac:dyDescent="0.2">
      <c r="A24" s="3" t="s">
        <v>13</v>
      </c>
      <c r="D24" s="7"/>
      <c r="E24" s="8">
        <f>SUM(D20:D22)</f>
        <v>5128.01</v>
      </c>
      <c r="F24" s="7"/>
      <c r="G24" s="7"/>
      <c r="H24" s="8">
        <f>+G22+G21</f>
        <v>7600</v>
      </c>
      <c r="J24" s="7"/>
      <c r="K24" s="8">
        <v>6864.5</v>
      </c>
    </row>
    <row r="25" spans="1:13" x14ac:dyDescent="0.2">
      <c r="D25" s="5"/>
      <c r="E25" s="8"/>
      <c r="F25" s="7"/>
      <c r="H25" s="8"/>
      <c r="K25" s="8"/>
    </row>
    <row r="26" spans="1:13" ht="19.5" customHeight="1" x14ac:dyDescent="0.2">
      <c r="A26" s="1" t="s">
        <v>15</v>
      </c>
      <c r="D26" s="7"/>
      <c r="E26" s="8">
        <f>+E18-E24</f>
        <v>2458.5500000000002</v>
      </c>
      <c r="F26" s="7"/>
      <c r="G26" s="7"/>
      <c r="H26" s="8">
        <f>+H18-H24</f>
        <v>0</v>
      </c>
      <c r="J26" s="7"/>
      <c r="K26" s="8">
        <v>635.5</v>
      </c>
    </row>
    <row r="27" spans="1:13" x14ac:dyDescent="0.2">
      <c r="D27" s="5"/>
      <c r="E27" s="7"/>
      <c r="F27" s="7"/>
      <c r="H27" s="7"/>
      <c r="K27" s="7"/>
    </row>
    <row r="28" spans="1:13" x14ac:dyDescent="0.2">
      <c r="A28" s="20" t="s">
        <v>16</v>
      </c>
      <c r="D28" s="5"/>
      <c r="E28" s="7"/>
      <c r="F28" s="7"/>
      <c r="H28" s="7"/>
      <c r="K28" s="7"/>
    </row>
    <row r="29" spans="1:13" x14ac:dyDescent="0.2">
      <c r="A29" t="s">
        <v>17</v>
      </c>
      <c r="D29" s="5">
        <f>+E26</f>
        <v>2458.5500000000002</v>
      </c>
      <c r="E29" s="8"/>
      <c r="F29" s="7"/>
      <c r="G29" s="5">
        <v>0</v>
      </c>
      <c r="H29" s="8"/>
      <c r="J29" s="5">
        <v>0</v>
      </c>
      <c r="K29" s="8"/>
    </row>
    <row r="30" spans="1:13" ht="13.5" thickBot="1" x14ac:dyDescent="0.25">
      <c r="A30" t="s">
        <v>28</v>
      </c>
      <c r="D30" s="9">
        <v>0</v>
      </c>
      <c r="E30" s="8"/>
      <c r="F30" s="7"/>
      <c r="G30" s="6">
        <f>+H26</f>
        <v>0</v>
      </c>
      <c r="H30" s="8"/>
      <c r="J30" s="6">
        <v>635.5</v>
      </c>
      <c r="K30" s="8"/>
    </row>
    <row r="31" spans="1:13" ht="19.5" customHeight="1" x14ac:dyDescent="0.2">
      <c r="A31" s="3"/>
      <c r="D31" s="7"/>
      <c r="E31" s="8">
        <f>+D29+D30</f>
        <v>2458.5500000000002</v>
      </c>
      <c r="F31" s="7"/>
      <c r="G31" s="7"/>
      <c r="H31" s="8">
        <f>+G30+G29</f>
        <v>0</v>
      </c>
      <c r="J31" s="7"/>
      <c r="K31" s="8">
        <v>635.5</v>
      </c>
    </row>
    <row r="32" spans="1:13" ht="19.5" customHeight="1" x14ac:dyDescent="0.2">
      <c r="A32" s="3"/>
      <c r="D32" s="7"/>
      <c r="E32" s="8"/>
      <c r="F32" s="7"/>
      <c r="G32" s="7"/>
      <c r="H32" s="8"/>
      <c r="J32" s="7"/>
      <c r="K32" s="8"/>
    </row>
    <row r="33" spans="1:11" ht="19.5" customHeight="1" x14ac:dyDescent="0.2">
      <c r="A33" s="3"/>
      <c r="F33" s="7"/>
      <c r="G33" s="7"/>
      <c r="H33" s="7"/>
      <c r="J33" s="7"/>
      <c r="K33" s="7"/>
    </row>
    <row r="34" spans="1:11" ht="19.5" customHeight="1" x14ac:dyDescent="0.2">
      <c r="A34" s="3"/>
      <c r="F34" s="7"/>
      <c r="G34" s="7"/>
      <c r="H34" s="7"/>
      <c r="J34" s="7"/>
      <c r="K34" s="7"/>
    </row>
    <row r="36" spans="1:11" x14ac:dyDescent="0.2">
      <c r="A36" t="s">
        <v>43</v>
      </c>
    </row>
    <row r="37" spans="1:11" x14ac:dyDescent="0.2">
      <c r="A37" t="s">
        <v>47</v>
      </c>
    </row>
    <row r="38" spans="1:11" x14ac:dyDescent="0.2">
      <c r="B38" t="s">
        <v>44</v>
      </c>
    </row>
    <row r="39" spans="1:11" x14ac:dyDescent="0.2">
      <c r="B39" t="s">
        <v>45</v>
      </c>
    </row>
    <row r="41" spans="1:11" x14ac:dyDescent="0.2">
      <c r="B41" t="s">
        <v>107</v>
      </c>
    </row>
    <row r="42" spans="1:11" x14ac:dyDescent="0.2">
      <c r="B42" t="s">
        <v>108</v>
      </c>
      <c r="G42" s="23" t="s">
        <v>53</v>
      </c>
      <c r="H42" s="47">
        <f>-H61</f>
        <v>12</v>
      </c>
    </row>
    <row r="43" spans="1:11" x14ac:dyDescent="0.2">
      <c r="B43" t="s">
        <v>109</v>
      </c>
      <c r="G43" s="23" t="s">
        <v>53</v>
      </c>
      <c r="H43" s="47">
        <f>-H62</f>
        <v>48.42</v>
      </c>
    </row>
    <row r="44" spans="1:11" ht="15" x14ac:dyDescent="0.35">
      <c r="B44" t="s">
        <v>110</v>
      </c>
      <c r="G44" s="23" t="s">
        <v>53</v>
      </c>
      <c r="H44" s="48">
        <f>+H56</f>
        <v>26.14</v>
      </c>
    </row>
    <row r="45" spans="1:11" x14ac:dyDescent="0.2">
      <c r="G45" s="23" t="s">
        <v>53</v>
      </c>
      <c r="H45" s="47">
        <f>SUM(H42:H44)</f>
        <v>86.56</v>
      </c>
      <c r="K45" s="47"/>
    </row>
    <row r="47" spans="1:11" x14ac:dyDescent="0.2">
      <c r="A47" t="s">
        <v>46</v>
      </c>
    </row>
    <row r="48" spans="1:11" x14ac:dyDescent="0.2">
      <c r="B48" t="s">
        <v>82</v>
      </c>
    </row>
    <row r="49" spans="1:9" x14ac:dyDescent="0.2">
      <c r="B49" t="s">
        <v>111</v>
      </c>
      <c r="H49" s="32"/>
    </row>
    <row r="50" spans="1:9" x14ac:dyDescent="0.2">
      <c r="B50" t="s">
        <v>83</v>
      </c>
      <c r="G50" s="23" t="s">
        <v>53</v>
      </c>
      <c r="H50" s="44">
        <v>2000</v>
      </c>
    </row>
    <row r="51" spans="1:9" ht="15" x14ac:dyDescent="0.35">
      <c r="B51" t="s">
        <v>84</v>
      </c>
      <c r="D51" s="29" t="s">
        <v>85</v>
      </c>
      <c r="E51">
        <v>4000</v>
      </c>
      <c r="F51" t="s">
        <v>86</v>
      </c>
      <c r="G51" s="23" t="s">
        <v>53</v>
      </c>
      <c r="H51" s="45">
        <v>3053.45</v>
      </c>
      <c r="I51" s="24"/>
    </row>
    <row r="52" spans="1:9" x14ac:dyDescent="0.2">
      <c r="G52" s="23" t="s">
        <v>53</v>
      </c>
      <c r="H52" s="44">
        <f>+H51+H50</f>
        <v>5053.45</v>
      </c>
    </row>
    <row r="53" spans="1:9" x14ac:dyDescent="0.2">
      <c r="H53" s="32"/>
    </row>
    <row r="54" spans="1:9" x14ac:dyDescent="0.2">
      <c r="A54" t="s">
        <v>5</v>
      </c>
      <c r="H54" s="32"/>
    </row>
    <row r="55" spans="1:9" x14ac:dyDescent="0.2">
      <c r="B55" t="s">
        <v>71</v>
      </c>
      <c r="G55" s="23" t="s">
        <v>53</v>
      </c>
      <c r="H55" s="32">
        <f>12.24+12.06+12.06+12.06</f>
        <v>48.42</v>
      </c>
    </row>
    <row r="56" spans="1:9" x14ac:dyDescent="0.2">
      <c r="B56" t="s">
        <v>87</v>
      </c>
      <c r="G56" s="23" t="s">
        <v>53</v>
      </c>
      <c r="H56" s="46">
        <v>26.14</v>
      </c>
    </row>
    <row r="57" spans="1:9" x14ac:dyDescent="0.2">
      <c r="G57" s="23" t="s">
        <v>53</v>
      </c>
      <c r="H57" s="32">
        <f>+H56+H55</f>
        <v>74.56</v>
      </c>
    </row>
    <row r="58" spans="1:9" x14ac:dyDescent="0.2">
      <c r="G58" s="23"/>
      <c r="H58" s="32"/>
    </row>
    <row r="59" spans="1:9" x14ac:dyDescent="0.2">
      <c r="A59" t="s">
        <v>103</v>
      </c>
      <c r="G59" s="23"/>
      <c r="H59" s="32"/>
    </row>
    <row r="60" spans="1:9" x14ac:dyDescent="0.2">
      <c r="B60" t="s">
        <v>104</v>
      </c>
      <c r="G60" s="23" t="s">
        <v>53</v>
      </c>
      <c r="H60" s="44">
        <f>+H51</f>
        <v>3053.45</v>
      </c>
    </row>
    <row r="61" spans="1:9" x14ac:dyDescent="0.2">
      <c r="B61" t="s">
        <v>105</v>
      </c>
      <c r="C61" s="24"/>
      <c r="G61" s="23" t="s">
        <v>53</v>
      </c>
      <c r="H61" s="44">
        <f>-'overloop 2010'!C14</f>
        <v>-12</v>
      </c>
    </row>
    <row r="62" spans="1:9" ht="15" x14ac:dyDescent="0.35">
      <c r="B62" t="s">
        <v>106</v>
      </c>
      <c r="C62" s="24"/>
      <c r="G62" s="23" t="s">
        <v>53</v>
      </c>
      <c r="H62" s="45">
        <f>-'overloop 2010'!C20</f>
        <v>-48.42</v>
      </c>
    </row>
    <row r="63" spans="1:9" x14ac:dyDescent="0.2">
      <c r="C63" s="24"/>
      <c r="G63" s="23" t="s">
        <v>53</v>
      </c>
      <c r="H63" s="44">
        <f>SUM(H60:H62)</f>
        <v>2993.0299999999997</v>
      </c>
    </row>
    <row r="64" spans="1:9" x14ac:dyDescent="0.2">
      <c r="C64" s="24"/>
      <c r="G64" s="23"/>
      <c r="H64" s="44"/>
    </row>
    <row r="65" spans="1:8" x14ac:dyDescent="0.2">
      <c r="G65" s="23"/>
      <c r="H65" s="44"/>
    </row>
    <row r="66" spans="1:8" x14ac:dyDescent="0.2">
      <c r="C66" s="24"/>
    </row>
    <row r="67" spans="1:8" x14ac:dyDescent="0.2">
      <c r="C67" s="24"/>
    </row>
    <row r="76" spans="1:8" x14ac:dyDescent="0.2">
      <c r="A76" s="21"/>
    </row>
  </sheetData>
  <mergeCells count="6">
    <mergeCell ref="D3:E3"/>
    <mergeCell ref="D4:E4"/>
    <mergeCell ref="J3:K3"/>
    <mergeCell ref="J4:K4"/>
    <mergeCell ref="G4:H4"/>
    <mergeCell ref="G3:H3"/>
  </mergeCells>
  <phoneticPr fontId="6" type="noConversion"/>
  <pageMargins left="0.75" right="0.28000000000000003" top="1" bottom="1" header="0.5" footer="0.5"/>
  <pageSetup paperSize="9" scale="78" orientation="portrait"/>
  <headerFooter alignWithMargins="0">
    <oddHeader>&amp;L&amp;"Arial,Vet"&amp;16Stichting Drie Wassende Manen</oddHeader>
    <oddFooter>&amp;L&amp;F, &amp;A&amp;R&amp;D &amp;T</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40"/>
  <sheetViews>
    <sheetView zoomScaleNormal="100" workbookViewId="0">
      <selection activeCell="C14" sqref="C14:C20"/>
    </sheetView>
  </sheetViews>
  <sheetFormatPr defaultColWidth="8.85546875" defaultRowHeight="12.75" x14ac:dyDescent="0.2"/>
  <cols>
    <col min="1" max="1" width="9.28515625" bestFit="1" customWidth="1"/>
    <col min="2" max="2" width="27.42578125" bestFit="1" customWidth="1"/>
    <col min="3" max="3" width="14" style="32" bestFit="1" customWidth="1"/>
  </cols>
  <sheetData>
    <row r="1" spans="1:6" s="42" customFormat="1" ht="15.75" x14ac:dyDescent="0.25">
      <c r="A1" s="42" t="s">
        <v>95</v>
      </c>
      <c r="C1" s="43"/>
    </row>
    <row r="4" spans="1:6" x14ac:dyDescent="0.2">
      <c r="C4" s="33" t="s">
        <v>73</v>
      </c>
    </row>
    <row r="5" spans="1:6" s="12" customFormat="1" x14ac:dyDescent="0.2">
      <c r="A5" t="s">
        <v>96</v>
      </c>
    </row>
    <row r="6" spans="1:6" x14ac:dyDescent="0.2">
      <c r="A6" t="s">
        <v>97</v>
      </c>
    </row>
    <row r="7" spans="1:6" x14ac:dyDescent="0.2">
      <c r="A7" s="31">
        <v>40576</v>
      </c>
      <c r="B7" t="s">
        <v>76</v>
      </c>
      <c r="C7" s="32">
        <v>26.14</v>
      </c>
    </row>
    <row r="9" spans="1:6" s="40" customFormat="1" x14ac:dyDescent="0.2">
      <c r="A9" s="41" t="s">
        <v>101</v>
      </c>
      <c r="B9" s="41" t="s">
        <v>102</v>
      </c>
      <c r="C9" s="41" t="s">
        <v>101</v>
      </c>
      <c r="D9" s="41" t="s">
        <v>101</v>
      </c>
      <c r="E9" s="41" t="s">
        <v>101</v>
      </c>
      <c r="F9" s="41" t="s">
        <v>101</v>
      </c>
    </row>
    <row r="10" spans="1:6" s="40" customFormat="1" x14ac:dyDescent="0.2">
      <c r="A10" s="41"/>
      <c r="B10" s="41"/>
      <c r="C10" s="41"/>
      <c r="D10" s="41"/>
      <c r="E10" s="41"/>
      <c r="F10" s="41"/>
    </row>
    <row r="11" spans="1:6" x14ac:dyDescent="0.2">
      <c r="A11" t="s">
        <v>78</v>
      </c>
    </row>
    <row r="12" spans="1:6" x14ac:dyDescent="0.2">
      <c r="A12" t="s">
        <v>79</v>
      </c>
    </row>
    <row r="13" spans="1:6" x14ac:dyDescent="0.2">
      <c r="A13" t="s">
        <v>77</v>
      </c>
    </row>
    <row r="14" spans="1:6" x14ac:dyDescent="0.2">
      <c r="B14" t="s">
        <v>80</v>
      </c>
      <c r="C14" s="32">
        <f>+'winst en verlies 2009'!D22</f>
        <v>12</v>
      </c>
    </row>
    <row r="17" spans="1:3" x14ac:dyDescent="0.2">
      <c r="A17" t="s">
        <v>81</v>
      </c>
    </row>
    <row r="18" spans="1:3" x14ac:dyDescent="0.2">
      <c r="A18" t="s">
        <v>79</v>
      </c>
    </row>
    <row r="19" spans="1:3" x14ac:dyDescent="0.2">
      <c r="A19" t="s">
        <v>77</v>
      </c>
    </row>
    <row r="20" spans="1:3" x14ac:dyDescent="0.2">
      <c r="B20" t="s">
        <v>80</v>
      </c>
      <c r="C20" s="32">
        <f>12.24+12.06+12.06+12.06</f>
        <v>48.42</v>
      </c>
    </row>
    <row r="23" spans="1:3" x14ac:dyDescent="0.2">
      <c r="A23" t="s">
        <v>92</v>
      </c>
    </row>
    <row r="24" spans="1:3" x14ac:dyDescent="0.2">
      <c r="A24" t="s">
        <v>88</v>
      </c>
    </row>
    <row r="25" spans="1:3" x14ac:dyDescent="0.2">
      <c r="A25" t="s">
        <v>89</v>
      </c>
    </row>
    <row r="26" spans="1:3" x14ac:dyDescent="0.2">
      <c r="A26" t="s">
        <v>90</v>
      </c>
    </row>
    <row r="27" spans="1:3" x14ac:dyDescent="0.2">
      <c r="B27" s="38" t="s">
        <v>91</v>
      </c>
      <c r="C27" s="32">
        <v>3053.45</v>
      </c>
    </row>
    <row r="28" spans="1:3" x14ac:dyDescent="0.2">
      <c r="A28" t="s">
        <v>93</v>
      </c>
    </row>
    <row r="29" spans="1:3" x14ac:dyDescent="0.2">
      <c r="A29" t="s">
        <v>94</v>
      </c>
    </row>
    <row r="38" spans="2:3" s="20" customFormat="1" x14ac:dyDescent="0.2">
      <c r="B38" s="20" t="s">
        <v>98</v>
      </c>
      <c r="C38" s="39"/>
    </row>
    <row r="39" spans="2:3" s="20" customFormat="1" x14ac:dyDescent="0.2">
      <c r="B39" s="20" t="s">
        <v>99</v>
      </c>
      <c r="C39" s="39"/>
    </row>
    <row r="40" spans="2:3" s="20" customFormat="1" x14ac:dyDescent="0.2">
      <c r="B40" s="20" t="s">
        <v>100</v>
      </c>
      <c r="C40" s="39">
        <f>+C27-C20-C14</f>
        <v>2993.0299999999997</v>
      </c>
    </row>
  </sheetData>
  <phoneticPr fontId="6" type="noConversion"/>
  <pageMargins left="0.75" right="0.75" top="1" bottom="1" header="0.5" footer="0.5"/>
  <pageSetup paperSize="9" orientation="portrait"/>
  <headerFooter alignWithMargins="0">
    <oddFooter>&amp;L&amp;F, &amp;A&amp;R&amp;D</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30"/>
  <sheetViews>
    <sheetView zoomScaleNormal="100" workbookViewId="0">
      <selection activeCell="D11" sqref="D11"/>
    </sheetView>
  </sheetViews>
  <sheetFormatPr defaultColWidth="8.85546875" defaultRowHeight="12.75" x14ac:dyDescent="0.2"/>
  <cols>
    <col min="1" max="1" width="6.42578125" customWidth="1"/>
    <col min="3" max="3" width="40.28515625" customWidth="1"/>
  </cols>
  <sheetData>
    <row r="1" spans="1:7" ht="20.25" x14ac:dyDescent="0.3">
      <c r="A1" s="10" t="s">
        <v>69</v>
      </c>
    </row>
    <row r="3" spans="1:7" x14ac:dyDescent="0.2">
      <c r="D3" s="264">
        <v>40178</v>
      </c>
      <c r="E3" s="264"/>
      <c r="F3" s="264">
        <v>39813</v>
      </c>
      <c r="G3" s="264"/>
    </row>
    <row r="4" spans="1:7" x14ac:dyDescent="0.2">
      <c r="D4" s="248" t="s">
        <v>73</v>
      </c>
      <c r="E4" s="248"/>
      <c r="F4" s="248" t="s">
        <v>73</v>
      </c>
      <c r="G4" s="248"/>
    </row>
    <row r="5" spans="1:7" ht="15.75" x14ac:dyDescent="0.25">
      <c r="A5" s="2" t="s">
        <v>21</v>
      </c>
      <c r="D5" s="5"/>
      <c r="E5" s="8"/>
      <c r="F5" s="5"/>
      <c r="G5" s="8"/>
    </row>
    <row r="6" spans="1:7" s="12" customFormat="1" ht="19.5" customHeight="1" x14ac:dyDescent="0.2">
      <c r="A6" s="11" t="s">
        <v>23</v>
      </c>
      <c r="D6" s="13"/>
      <c r="E6" s="14"/>
      <c r="F6" s="13"/>
      <c r="G6" s="14"/>
    </row>
    <row r="7" spans="1:7" x14ac:dyDescent="0.2">
      <c r="A7" t="s">
        <v>25</v>
      </c>
      <c r="D7" s="5"/>
      <c r="E7" s="8">
        <v>0</v>
      </c>
      <c r="F7" s="5"/>
      <c r="G7" s="8">
        <v>0</v>
      </c>
    </row>
    <row r="8" spans="1:7" x14ac:dyDescent="0.2">
      <c r="D8" s="5"/>
      <c r="E8" s="8"/>
      <c r="F8" s="5"/>
      <c r="G8" s="8"/>
    </row>
    <row r="9" spans="1:7" s="12" customFormat="1" ht="19.5" customHeight="1" x14ac:dyDescent="0.2">
      <c r="A9" s="11" t="s">
        <v>24</v>
      </c>
      <c r="D9" s="13"/>
      <c r="E9" s="14"/>
      <c r="F9" s="13"/>
      <c r="G9" s="14"/>
    </row>
    <row r="10" spans="1:7" x14ac:dyDescent="0.2">
      <c r="A10" t="s">
        <v>26</v>
      </c>
      <c r="D10" s="5">
        <v>0</v>
      </c>
      <c r="E10" s="15"/>
      <c r="F10" s="5">
        <v>0</v>
      </c>
      <c r="G10" s="15"/>
    </row>
    <row r="11" spans="1:7" ht="13.5" thickBot="1" x14ac:dyDescent="0.25">
      <c r="A11" t="s">
        <v>70</v>
      </c>
      <c r="D11" s="6">
        <v>635.5</v>
      </c>
      <c r="E11" s="8"/>
      <c r="F11" s="6"/>
      <c r="G11" s="8"/>
    </row>
    <row r="12" spans="1:7" ht="13.5" thickBot="1" x14ac:dyDescent="0.25">
      <c r="D12" s="5"/>
      <c r="E12" s="16">
        <f>+D11+D10</f>
        <v>635.5</v>
      </c>
      <c r="F12" s="5"/>
      <c r="G12" s="16">
        <f>+F11+F10</f>
        <v>0</v>
      </c>
    </row>
    <row r="13" spans="1:7" ht="19.5" customHeight="1" x14ac:dyDescent="0.2">
      <c r="A13" s="3"/>
      <c r="C13" s="29" t="s">
        <v>55</v>
      </c>
      <c r="D13" s="7"/>
      <c r="E13" s="18">
        <f>+E12+E7</f>
        <v>635.5</v>
      </c>
      <c r="F13" s="7"/>
      <c r="G13" s="18">
        <f>+G12+G7</f>
        <v>0</v>
      </c>
    </row>
    <row r="14" spans="1:7" x14ac:dyDescent="0.2">
      <c r="D14" s="5"/>
      <c r="E14" s="8"/>
      <c r="F14" s="5"/>
      <c r="G14" s="8"/>
    </row>
    <row r="15" spans="1:7" ht="15.75" x14ac:dyDescent="0.25">
      <c r="A15" s="2" t="s">
        <v>22</v>
      </c>
      <c r="D15" s="5"/>
      <c r="E15" s="8"/>
      <c r="F15" s="5"/>
      <c r="G15" s="8"/>
    </row>
    <row r="16" spans="1:7" ht="19.5" customHeight="1" x14ac:dyDescent="0.2">
      <c r="A16" s="11" t="s">
        <v>29</v>
      </c>
      <c r="D16" s="5"/>
      <c r="E16" s="8"/>
      <c r="F16" s="5"/>
      <c r="G16" s="8"/>
    </row>
    <row r="17" spans="1:7" x14ac:dyDescent="0.2">
      <c r="A17" t="s">
        <v>28</v>
      </c>
      <c r="D17" s="5">
        <f>+'winst en verlies 2009'!D30</f>
        <v>635.5</v>
      </c>
      <c r="E17" s="8"/>
      <c r="F17" s="5"/>
      <c r="G17" s="8"/>
    </row>
    <row r="18" spans="1:7" ht="13.5" thickBot="1" x14ac:dyDescent="0.25">
      <c r="A18" t="s">
        <v>17</v>
      </c>
      <c r="D18" s="6">
        <v>0</v>
      </c>
      <c r="E18" s="8"/>
      <c r="F18" s="6">
        <v>0</v>
      </c>
      <c r="G18" s="8"/>
    </row>
    <row r="19" spans="1:7" s="12" customFormat="1" ht="13.5" customHeight="1" x14ac:dyDescent="0.2">
      <c r="D19" s="13"/>
      <c r="E19" s="49">
        <f>+D18+D17</f>
        <v>635.5</v>
      </c>
      <c r="F19" s="13"/>
      <c r="G19" s="14">
        <f>+F18+F17</f>
        <v>0</v>
      </c>
    </row>
    <row r="20" spans="1:7" x14ac:dyDescent="0.2">
      <c r="D20" s="5"/>
      <c r="E20" s="8"/>
      <c r="F20" s="5"/>
      <c r="G20" s="8"/>
    </row>
    <row r="21" spans="1:7" s="12" customFormat="1" ht="19.5" customHeight="1" thickBot="1" x14ac:dyDescent="0.25">
      <c r="A21" s="11" t="s">
        <v>30</v>
      </c>
      <c r="D21" s="13"/>
      <c r="E21" s="17">
        <f>+D20+D19</f>
        <v>0</v>
      </c>
      <c r="F21" s="13"/>
      <c r="G21" s="17">
        <f>+F20+F19</f>
        <v>0</v>
      </c>
    </row>
    <row r="22" spans="1:7" ht="19.5" customHeight="1" x14ac:dyDescent="0.2">
      <c r="C22" s="29" t="s">
        <v>55</v>
      </c>
      <c r="D22" s="5"/>
      <c r="E22" s="18">
        <f>+E19+E21</f>
        <v>635.5</v>
      </c>
      <c r="F22" s="5"/>
      <c r="G22" s="18">
        <f>+G19+G21</f>
        <v>0</v>
      </c>
    </row>
    <row r="23" spans="1:7" ht="19.5" customHeight="1" x14ac:dyDescent="0.2">
      <c r="D23" s="5"/>
      <c r="E23" s="18"/>
      <c r="F23" s="5"/>
      <c r="G23" s="18"/>
    </row>
    <row r="24" spans="1:7" ht="19.5" customHeight="1" x14ac:dyDescent="0.2">
      <c r="D24" s="5"/>
      <c r="E24" s="18"/>
      <c r="F24" s="5"/>
      <c r="G24" s="18"/>
    </row>
    <row r="25" spans="1:7" x14ac:dyDescent="0.2">
      <c r="D25" s="5"/>
      <c r="E25" s="7"/>
      <c r="F25" s="5"/>
      <c r="G25" s="7"/>
    </row>
    <row r="26" spans="1:7" x14ac:dyDescent="0.2">
      <c r="D26" s="5"/>
      <c r="E26" s="7"/>
      <c r="F26" s="5"/>
      <c r="G26" s="7"/>
    </row>
    <row r="28" spans="1:7" x14ac:dyDescent="0.2">
      <c r="A28" t="s">
        <v>31</v>
      </c>
      <c r="C28" t="s">
        <v>72</v>
      </c>
      <c r="E28" s="22"/>
      <c r="G28" s="22"/>
    </row>
    <row r="29" spans="1:7" x14ac:dyDescent="0.2">
      <c r="A29" t="s">
        <v>34</v>
      </c>
    </row>
    <row r="30" spans="1:7" x14ac:dyDescent="0.2">
      <c r="A30" t="s">
        <v>33</v>
      </c>
    </row>
  </sheetData>
  <mergeCells count="4">
    <mergeCell ref="D3:E3"/>
    <mergeCell ref="F3:G3"/>
    <mergeCell ref="D4:E4"/>
    <mergeCell ref="F4:G4"/>
  </mergeCells>
  <phoneticPr fontId="6" type="noConversion"/>
  <pageMargins left="0.75" right="0.75" top="1" bottom="1" header="0.5" footer="0.5"/>
  <pageSetup paperSize="9" scale="98" orientation="landscape"/>
  <headerFooter alignWithMargins="0">
    <oddHeader>&amp;L&amp;"Arial,Vet"&amp;16Stichting Drie Wassende Manen</oddHeader>
    <oddFooter>&amp;L&amp;F, &amp;A&amp;R&amp;D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33272-9757-4D5E-8E67-4E647BE5017A}">
  <sheetPr>
    <pageSetUpPr fitToPage="1"/>
  </sheetPr>
  <dimension ref="A1:R31"/>
  <sheetViews>
    <sheetView zoomScale="136" zoomScaleNormal="136" workbookViewId="0">
      <selection activeCell="D11" sqref="D11"/>
    </sheetView>
  </sheetViews>
  <sheetFormatPr defaultColWidth="8.85546875" defaultRowHeight="12.75" x14ac:dyDescent="0.2"/>
  <cols>
    <col min="1" max="1" width="6.42578125" customWidth="1"/>
    <col min="3" max="3" width="40.28515625" customWidth="1"/>
    <col min="4" max="5" width="9.140625" customWidth="1"/>
    <col min="6" max="6" width="2.42578125" customWidth="1"/>
    <col min="7" max="7" width="9.28515625" style="4" customWidth="1"/>
    <col min="8" max="8" width="9.28515625" style="201" customWidth="1"/>
    <col min="9" max="9" width="2.42578125" customWidth="1"/>
    <col min="10" max="10" width="9.28515625" style="4" customWidth="1"/>
    <col min="11" max="11" width="10" style="201" customWidth="1"/>
    <col min="12" max="12" width="2.42578125" customWidth="1"/>
    <col min="13" max="13" width="8.28515625" style="4" bestFit="1" customWidth="1"/>
    <col min="14" max="14" width="10" style="201" customWidth="1"/>
    <col min="15" max="15" width="2.42578125" customWidth="1"/>
    <col min="16" max="16" width="9.140625" style="4" customWidth="1"/>
    <col min="17" max="17" width="11" style="195" bestFit="1" customWidth="1"/>
    <col min="18" max="18" width="2.42578125" customWidth="1"/>
  </cols>
  <sheetData>
    <row r="1" spans="1:18" ht="20.25" x14ac:dyDescent="0.3">
      <c r="A1" s="10" t="s">
        <v>69</v>
      </c>
    </row>
    <row r="3" spans="1:18" s="109" customFormat="1" x14ac:dyDescent="0.2">
      <c r="D3" s="245">
        <v>45291</v>
      </c>
      <c r="E3" s="246"/>
      <c r="G3" s="239">
        <v>44926</v>
      </c>
      <c r="H3" s="240"/>
      <c r="J3" s="239">
        <v>44561</v>
      </c>
      <c r="K3" s="240"/>
      <c r="M3" s="239">
        <v>44196</v>
      </c>
      <c r="N3" s="240"/>
      <c r="P3" s="239">
        <v>43830</v>
      </c>
      <c r="Q3" s="240"/>
    </row>
    <row r="4" spans="1:18" x14ac:dyDescent="0.2">
      <c r="D4" s="243" t="s">
        <v>73</v>
      </c>
      <c r="E4" s="244"/>
      <c r="G4" s="243" t="s">
        <v>73</v>
      </c>
      <c r="H4" s="244"/>
      <c r="J4" s="243" t="s">
        <v>73</v>
      </c>
      <c r="K4" s="244"/>
      <c r="M4" s="243" t="s">
        <v>73</v>
      </c>
      <c r="N4" s="244"/>
      <c r="P4" s="243" t="s">
        <v>73</v>
      </c>
      <c r="Q4" s="244"/>
    </row>
    <row r="5" spans="1:18" ht="15.75" x14ac:dyDescent="0.25">
      <c r="A5" s="2" t="s">
        <v>21</v>
      </c>
      <c r="E5" s="196"/>
      <c r="H5" s="196"/>
      <c r="K5" s="196"/>
      <c r="N5" s="196"/>
      <c r="Q5" s="196"/>
    </row>
    <row r="6" spans="1:18" s="12" customFormat="1" ht="19.5" customHeight="1" x14ac:dyDescent="0.2">
      <c r="A6" s="11" t="s">
        <v>23</v>
      </c>
      <c r="E6" s="197"/>
      <c r="G6" s="68"/>
      <c r="H6" s="197"/>
      <c r="J6" s="68"/>
      <c r="K6" s="197"/>
      <c r="M6" s="68"/>
      <c r="N6" s="197"/>
      <c r="P6" s="68"/>
      <c r="Q6" s="197"/>
    </row>
    <row r="7" spans="1:18" x14ac:dyDescent="0.2">
      <c r="A7" t="s">
        <v>25</v>
      </c>
      <c r="E7" s="202">
        <v>0</v>
      </c>
      <c r="H7" s="202">
        <v>0</v>
      </c>
      <c r="K7" s="202">
        <v>0</v>
      </c>
      <c r="N7" s="202">
        <v>0</v>
      </c>
      <c r="Q7" s="196">
        <v>0</v>
      </c>
    </row>
    <row r="8" spans="1:18" x14ac:dyDescent="0.2">
      <c r="E8" s="196"/>
      <c r="H8" s="196"/>
      <c r="K8" s="196"/>
      <c r="N8" s="196"/>
      <c r="Q8" s="196"/>
    </row>
    <row r="9" spans="1:18" s="12" customFormat="1" ht="19.5" customHeight="1" x14ac:dyDescent="0.2">
      <c r="A9" s="11" t="s">
        <v>24</v>
      </c>
      <c r="E9" s="197"/>
      <c r="G9" s="68"/>
      <c r="H9" s="197"/>
      <c r="J9" s="68"/>
      <c r="K9" s="197"/>
      <c r="M9" s="68"/>
      <c r="N9" s="197"/>
      <c r="P9" s="68"/>
      <c r="Q9" s="197"/>
    </row>
    <row r="10" spans="1:18" x14ac:dyDescent="0.2">
      <c r="A10" t="s">
        <v>26</v>
      </c>
      <c r="D10" s="224">
        <f>+'kolommenbalans 2023'!D45</f>
        <v>168.52999999999994</v>
      </c>
      <c r="E10" s="196"/>
      <c r="G10" s="193">
        <v>-204.36999999999992</v>
      </c>
      <c r="H10" s="196"/>
      <c r="J10" s="193">
        <v>-305.83999999999992</v>
      </c>
      <c r="K10" s="196"/>
      <c r="M10" s="4">
        <v>-473.83999999999992</v>
      </c>
      <c r="N10" s="196"/>
      <c r="P10" s="4">
        <v>-164.07999999999993</v>
      </c>
      <c r="Q10" s="198"/>
    </row>
    <row r="11" spans="1:18" ht="13.5" thickBot="1" x14ac:dyDescent="0.25">
      <c r="A11" s="70" t="s">
        <v>427</v>
      </c>
      <c r="D11" s="225">
        <f>+'kolommenbalans 2023'!B38+'kolommenbalans 2023'!C38</f>
        <v>7483.1899999999905</v>
      </c>
      <c r="E11" s="196"/>
      <c r="G11" s="9">
        <v>10142.719999999992</v>
      </c>
      <c r="H11" s="196"/>
      <c r="J11" s="9">
        <v>10164.009999999993</v>
      </c>
      <c r="K11" s="196"/>
      <c r="M11" s="9">
        <v>7132.0099999999929</v>
      </c>
      <c r="N11" s="196"/>
      <c r="P11" s="164">
        <v>18260.939999999991</v>
      </c>
      <c r="Q11" s="196"/>
    </row>
    <row r="12" spans="1:18" ht="13.5" thickBot="1" x14ac:dyDescent="0.25">
      <c r="E12" s="194"/>
      <c r="H12" s="194">
        <v>9938.3499999999913</v>
      </c>
      <c r="K12" s="194">
        <v>9858.1699999999928</v>
      </c>
      <c r="N12" s="194">
        <v>6658.1699999999928</v>
      </c>
      <c r="Q12" s="194">
        <v>18096.859999999993</v>
      </c>
    </row>
    <row r="13" spans="1:18" s="20" customFormat="1" ht="19.5" customHeight="1" x14ac:dyDescent="0.2">
      <c r="A13" s="1"/>
      <c r="C13" s="107" t="s">
        <v>739</v>
      </c>
      <c r="D13" s="107"/>
      <c r="E13" s="203">
        <f>+D11+D10</f>
        <v>7651.7199999999903</v>
      </c>
      <c r="F13" s="107"/>
      <c r="G13" s="165"/>
      <c r="H13" s="203">
        <v>9938.3499999999913</v>
      </c>
      <c r="I13" s="107"/>
      <c r="J13" s="165"/>
      <c r="K13" s="203">
        <v>9858.1699999999928</v>
      </c>
      <c r="L13" s="107"/>
      <c r="M13" s="165"/>
      <c r="N13" s="203">
        <v>6658.1699999999928</v>
      </c>
      <c r="O13" s="107"/>
      <c r="P13" s="165"/>
      <c r="Q13" s="199">
        <v>18096.859999999993</v>
      </c>
      <c r="R13" s="107"/>
    </row>
    <row r="14" spans="1:18" x14ac:dyDescent="0.2">
      <c r="E14" s="196"/>
      <c r="H14" s="196"/>
      <c r="K14" s="196"/>
      <c r="N14" s="196"/>
      <c r="Q14" s="196"/>
    </row>
    <row r="15" spans="1:18" ht="15.75" x14ac:dyDescent="0.25">
      <c r="A15" s="2" t="s">
        <v>22</v>
      </c>
      <c r="E15" s="196"/>
      <c r="H15" s="196"/>
      <c r="K15" s="196"/>
      <c r="N15" s="196"/>
      <c r="Q15" s="196"/>
    </row>
    <row r="16" spans="1:18" ht="19.5" customHeight="1" x14ac:dyDescent="0.2">
      <c r="A16" s="11" t="s">
        <v>29</v>
      </c>
      <c r="E16" s="196"/>
      <c r="H16" s="196"/>
      <c r="K16" s="196"/>
      <c r="N16" s="196"/>
      <c r="Q16" s="196"/>
    </row>
    <row r="17" spans="1:18" x14ac:dyDescent="0.2">
      <c r="A17" t="s">
        <v>28</v>
      </c>
      <c r="D17" s="226">
        <f>+G17+'winst en verlies 2023'!D33+1</f>
        <v>4052.37</v>
      </c>
      <c r="E17" s="196"/>
      <c r="G17" s="219">
        <v>638</v>
      </c>
      <c r="H17" s="196"/>
      <c r="J17" s="193">
        <v>4698.17</v>
      </c>
      <c r="K17" s="196"/>
      <c r="M17" s="4">
        <v>-2801.8299999999981</v>
      </c>
      <c r="N17" s="196"/>
      <c r="P17" s="5">
        <v>15676.860000000002</v>
      </c>
      <c r="Q17" s="196"/>
    </row>
    <row r="18" spans="1:18" ht="13.5" thickBot="1" x14ac:dyDescent="0.25">
      <c r="A18" s="70" t="s">
        <v>428</v>
      </c>
      <c r="D18" s="224">
        <f>-'kolommenbalans 2023'!F48</f>
        <v>3600</v>
      </c>
      <c r="E18" s="196"/>
      <c r="G18" s="223">
        <v>9300</v>
      </c>
      <c r="H18" s="196"/>
      <c r="J18" s="9">
        <v>5160</v>
      </c>
      <c r="K18" s="196"/>
      <c r="M18" s="9">
        <v>9460</v>
      </c>
      <c r="N18" s="196"/>
      <c r="P18" s="6">
        <v>2420</v>
      </c>
      <c r="Q18" s="196"/>
    </row>
    <row r="19" spans="1:18" ht="13.5" hidden="1" thickBot="1" x14ac:dyDescent="0.25">
      <c r="A19" t="s">
        <v>17</v>
      </c>
      <c r="E19" s="196"/>
      <c r="G19" s="9"/>
      <c r="H19" s="196"/>
      <c r="J19" s="9"/>
      <c r="K19" s="196"/>
      <c r="M19" s="9"/>
      <c r="N19" s="196"/>
      <c r="P19" s="9"/>
      <c r="Q19" s="196"/>
    </row>
    <row r="20" spans="1:18" s="12" customFormat="1" ht="13.5" customHeight="1" x14ac:dyDescent="0.2">
      <c r="E20" s="204">
        <f>+D18+D17</f>
        <v>7652.37</v>
      </c>
      <c r="G20" s="68"/>
      <c r="H20" s="204">
        <v>9938</v>
      </c>
      <c r="J20" s="68"/>
      <c r="K20" s="204">
        <v>9858.17</v>
      </c>
      <c r="M20" s="68"/>
      <c r="N20" s="204">
        <v>6658.1700000000019</v>
      </c>
      <c r="P20" s="68"/>
      <c r="Q20" s="196">
        <v>18096.86</v>
      </c>
    </row>
    <row r="21" spans="1:18" s="12" customFormat="1" ht="13.5" thickBot="1" x14ac:dyDescent="0.25">
      <c r="A21" s="11" t="s">
        <v>30</v>
      </c>
      <c r="E21" s="205">
        <v>0</v>
      </c>
      <c r="G21" s="68"/>
      <c r="H21" s="205">
        <v>0</v>
      </c>
      <c r="J21" s="68"/>
      <c r="K21" s="205">
        <v>0</v>
      </c>
      <c r="M21" s="68"/>
      <c r="N21" s="205">
        <v>0</v>
      </c>
      <c r="Q21" s="194">
        <v>0</v>
      </c>
    </row>
    <row r="22" spans="1:18" s="20" customFormat="1" ht="19.5" customHeight="1" x14ac:dyDescent="0.2">
      <c r="C22" s="107" t="s">
        <v>740</v>
      </c>
      <c r="D22" s="107"/>
      <c r="E22" s="203">
        <f>+D18+D17</f>
        <v>7652.37</v>
      </c>
      <c r="F22" s="107"/>
      <c r="G22" s="165"/>
      <c r="H22" s="203">
        <v>9938.3499999999913</v>
      </c>
      <c r="I22" s="107"/>
      <c r="J22" s="165"/>
      <c r="K22" s="203">
        <v>9858.17</v>
      </c>
      <c r="L22" s="107"/>
      <c r="M22" s="165"/>
      <c r="N22" s="203">
        <v>6658.1699999999928</v>
      </c>
      <c r="O22" s="107"/>
      <c r="P22" s="165"/>
      <c r="Q22" s="199">
        <v>18096.86</v>
      </c>
      <c r="R22" s="107"/>
    </row>
    <row r="23" spans="1:18" ht="19.5" customHeight="1" x14ac:dyDescent="0.2">
      <c r="E23" s="196"/>
      <c r="H23" s="196"/>
      <c r="K23" s="196"/>
      <c r="N23" s="196"/>
      <c r="Q23" s="199"/>
    </row>
    <row r="24" spans="1:18" ht="8.25" customHeight="1" x14ac:dyDescent="0.2">
      <c r="E24" s="196"/>
      <c r="H24" s="196"/>
      <c r="K24" s="196"/>
      <c r="N24" s="196"/>
      <c r="Q24" s="199"/>
    </row>
    <row r="26" spans="1:18" x14ac:dyDescent="0.2">
      <c r="Q26" s="200"/>
    </row>
    <row r="27" spans="1:18" x14ac:dyDescent="0.2">
      <c r="A27" t="s">
        <v>31</v>
      </c>
      <c r="C27" s="147" t="s">
        <v>773</v>
      </c>
      <c r="D27" s="147"/>
      <c r="E27" s="147"/>
      <c r="F27" s="147"/>
      <c r="I27" s="147"/>
    </row>
    <row r="28" spans="1:18" x14ac:dyDescent="0.2">
      <c r="A28" s="70" t="s">
        <v>470</v>
      </c>
      <c r="Q28" s="200"/>
    </row>
    <row r="29" spans="1:18" x14ac:dyDescent="0.2">
      <c r="A29" t="s">
        <v>471</v>
      </c>
      <c r="E29" s="52"/>
    </row>
    <row r="30" spans="1:18" x14ac:dyDescent="0.2">
      <c r="E30" s="224"/>
    </row>
    <row r="31" spans="1:18" x14ac:dyDescent="0.2">
      <c r="E31" s="224"/>
    </row>
  </sheetData>
  <mergeCells count="10">
    <mergeCell ref="D4:E4"/>
    <mergeCell ref="G4:H4"/>
    <mergeCell ref="J4:K4"/>
    <mergeCell ref="M4:N4"/>
    <mergeCell ref="P4:Q4"/>
    <mergeCell ref="D3:E3"/>
    <mergeCell ref="G3:H3"/>
    <mergeCell ref="J3:K3"/>
    <mergeCell ref="M3:N3"/>
    <mergeCell ref="P3:Q3"/>
  </mergeCells>
  <pageMargins left="0.74803149606299213" right="0.51181102362204722" top="0.98425196850393704" bottom="0.82677165354330717" header="0.51181102362204722" footer="0.51181102362204722"/>
  <pageSetup paperSize="9" scale="83" orientation="landscape" r:id="rId1"/>
  <headerFooter alignWithMargins="0">
    <oddFooter>&amp;L&amp;F, &amp;A&amp;R&amp;D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72"/>
  <sheetViews>
    <sheetView topLeftCell="A10" zoomScaleNormal="100" workbookViewId="0">
      <selection activeCell="E31" sqref="E31"/>
    </sheetView>
  </sheetViews>
  <sheetFormatPr defaultColWidth="8.85546875" defaultRowHeight="12.75" x14ac:dyDescent="0.2"/>
  <cols>
    <col min="1" max="1" width="6.42578125" customWidth="1"/>
    <col min="3" max="3" width="18.85546875" customWidth="1"/>
    <col min="4" max="4" width="11.28515625" style="5" bestFit="1" customWidth="1"/>
    <col min="5" max="5" width="9.42578125" bestFit="1" customWidth="1"/>
    <col min="6" max="6" width="2.42578125" customWidth="1"/>
    <col min="7" max="7" width="11.28515625" style="5" bestFit="1" customWidth="1"/>
    <col min="8" max="8" width="9.42578125" bestFit="1" customWidth="1"/>
  </cols>
  <sheetData>
    <row r="1" spans="1:8" ht="20.25" x14ac:dyDescent="0.3">
      <c r="A1" s="10" t="s">
        <v>74</v>
      </c>
    </row>
    <row r="3" spans="1:8" x14ac:dyDescent="0.2">
      <c r="D3" s="251" t="s">
        <v>41</v>
      </c>
      <c r="E3" s="236"/>
      <c r="F3" s="27"/>
      <c r="G3" s="271" t="s">
        <v>18</v>
      </c>
      <c r="H3" s="236"/>
    </row>
    <row r="4" spans="1:8" x14ac:dyDescent="0.2">
      <c r="D4" s="232" t="s">
        <v>73</v>
      </c>
      <c r="E4" s="231"/>
      <c r="F4" s="28"/>
      <c r="G4" s="232" t="s">
        <v>73</v>
      </c>
      <c r="H4" s="231"/>
    </row>
    <row r="5" spans="1:8" ht="15.75" x14ac:dyDescent="0.25">
      <c r="A5" s="2" t="s">
        <v>0</v>
      </c>
      <c r="E5" s="8"/>
      <c r="F5" s="7"/>
      <c r="H5" s="8"/>
    </row>
    <row r="6" spans="1:8" x14ac:dyDescent="0.2">
      <c r="A6" t="s">
        <v>11</v>
      </c>
      <c r="D6" s="5">
        <v>7500</v>
      </c>
      <c r="E6" s="8"/>
      <c r="F6" s="7"/>
      <c r="G6" s="5">
        <v>7500</v>
      </c>
      <c r="H6" s="8"/>
    </row>
    <row r="7" spans="1:8" x14ac:dyDescent="0.2">
      <c r="A7" t="s">
        <v>1</v>
      </c>
      <c r="D7" s="5">
        <v>0</v>
      </c>
      <c r="E7" s="8"/>
      <c r="F7" s="7"/>
      <c r="G7" s="5">
        <v>0</v>
      </c>
      <c r="H7" s="8"/>
    </row>
    <row r="8" spans="1:8" x14ac:dyDescent="0.2">
      <c r="A8" t="s">
        <v>2</v>
      </c>
      <c r="D8" s="5">
        <v>0</v>
      </c>
      <c r="E8" s="8"/>
      <c r="F8" s="7"/>
      <c r="G8" s="5">
        <v>0</v>
      </c>
      <c r="H8" s="8"/>
    </row>
    <row r="9" spans="1:8" ht="13.5" thickBot="1" x14ac:dyDescent="0.25">
      <c r="A9" t="s">
        <v>57</v>
      </c>
      <c r="D9" s="6" t="s">
        <v>42</v>
      </c>
      <c r="E9" s="8"/>
      <c r="F9" s="7"/>
      <c r="G9" s="6">
        <v>500</v>
      </c>
      <c r="H9" s="8"/>
    </row>
    <row r="10" spans="1:8" ht="19.5" customHeight="1" x14ac:dyDescent="0.2">
      <c r="A10" s="3" t="s">
        <v>3</v>
      </c>
      <c r="D10" s="7"/>
      <c r="E10" s="8">
        <f>SUM(D6:D9)</f>
        <v>7500</v>
      </c>
      <c r="F10" s="7"/>
      <c r="G10" s="7"/>
      <c r="H10" s="8">
        <f>SUM(G6:G9)</f>
        <v>8000</v>
      </c>
    </row>
    <row r="11" spans="1:8" x14ac:dyDescent="0.2">
      <c r="E11" s="8"/>
      <c r="F11" s="7"/>
      <c r="H11" s="8"/>
    </row>
    <row r="12" spans="1:8" x14ac:dyDescent="0.2">
      <c r="A12" t="s">
        <v>4</v>
      </c>
      <c r="D12" s="5">
        <v>0</v>
      </c>
      <c r="E12" s="8"/>
      <c r="F12" s="7"/>
      <c r="G12" s="5">
        <v>0</v>
      </c>
      <c r="H12" s="8"/>
    </row>
    <row r="13" spans="1:8" ht="13.5" thickBot="1" x14ac:dyDescent="0.25">
      <c r="A13" t="s">
        <v>5</v>
      </c>
      <c r="D13" s="6">
        <v>0</v>
      </c>
      <c r="E13" s="8"/>
      <c r="F13" s="7"/>
      <c r="G13" s="6">
        <v>0</v>
      </c>
      <c r="H13" s="8"/>
    </row>
    <row r="14" spans="1:8" ht="19.5" customHeight="1" x14ac:dyDescent="0.2">
      <c r="A14" s="3" t="s">
        <v>6</v>
      </c>
      <c r="D14" s="7"/>
      <c r="E14" s="8">
        <f>-SUM(D12:D13)</f>
        <v>0</v>
      </c>
      <c r="F14" s="7"/>
      <c r="G14" s="7"/>
      <c r="H14" s="8">
        <f>-SUM(G12:G13)</f>
        <v>0</v>
      </c>
    </row>
    <row r="15" spans="1:8" ht="13.5" thickBot="1" x14ac:dyDescent="0.25">
      <c r="A15" t="s">
        <v>14</v>
      </c>
      <c r="E15" s="19">
        <f>+E14/E10</f>
        <v>0</v>
      </c>
      <c r="F15" s="26"/>
      <c r="H15" s="19">
        <f>+H14/H10</f>
        <v>0</v>
      </c>
    </row>
    <row r="16" spans="1:8" ht="19.5" customHeight="1" x14ac:dyDescent="0.2">
      <c r="A16" s="3" t="s">
        <v>8</v>
      </c>
      <c r="D16" s="7"/>
      <c r="E16" s="8">
        <f>+E10+E14</f>
        <v>7500</v>
      </c>
      <c r="F16" s="7"/>
      <c r="G16" s="7"/>
      <c r="H16" s="8">
        <f>+H10+H14</f>
        <v>8000</v>
      </c>
    </row>
    <row r="17" spans="1:8" ht="13.5" thickBot="1" x14ac:dyDescent="0.25">
      <c r="A17" t="s">
        <v>7</v>
      </c>
      <c r="E17" s="16">
        <v>0</v>
      </c>
      <c r="F17" s="7"/>
      <c r="H17" s="16">
        <v>0</v>
      </c>
    </row>
    <row r="18" spans="1:8" ht="19.5" customHeight="1" x14ac:dyDescent="0.2">
      <c r="A18" s="3" t="s">
        <v>9</v>
      </c>
      <c r="D18" s="7"/>
      <c r="E18" s="8">
        <f>+E17+E16</f>
        <v>7500</v>
      </c>
      <c r="F18" s="7"/>
      <c r="G18" s="7"/>
      <c r="H18" s="8">
        <f>+H17+H16</f>
        <v>8000</v>
      </c>
    </row>
    <row r="19" spans="1:8" x14ac:dyDescent="0.2">
      <c r="E19" s="8"/>
      <c r="F19" s="7"/>
      <c r="H19" s="8"/>
    </row>
    <row r="20" spans="1:8" ht="15.75" x14ac:dyDescent="0.25">
      <c r="A20" s="2" t="s">
        <v>10</v>
      </c>
      <c r="E20" s="8"/>
      <c r="F20" s="7"/>
      <c r="H20" s="8"/>
    </row>
    <row r="21" spans="1:8" x14ac:dyDescent="0.2">
      <c r="A21" t="s">
        <v>12</v>
      </c>
      <c r="D21" s="5">
        <f>+H48</f>
        <v>6852.5</v>
      </c>
      <c r="E21" s="8"/>
      <c r="F21" s="7"/>
      <c r="G21" s="5">
        <v>7500</v>
      </c>
      <c r="H21" s="8"/>
    </row>
    <row r="22" spans="1:8" ht="13.5" thickBot="1" x14ac:dyDescent="0.25">
      <c r="A22" t="s">
        <v>5</v>
      </c>
      <c r="D22" s="6">
        <v>12</v>
      </c>
      <c r="E22" s="8"/>
      <c r="F22" s="7"/>
      <c r="G22" s="6">
        <v>450</v>
      </c>
      <c r="H22" s="8"/>
    </row>
    <row r="23" spans="1:8" x14ac:dyDescent="0.2">
      <c r="E23" s="8"/>
      <c r="F23" s="7"/>
      <c r="H23" s="8"/>
    </row>
    <row r="24" spans="1:8" ht="19.5" customHeight="1" x14ac:dyDescent="0.2">
      <c r="A24" s="3" t="s">
        <v>13</v>
      </c>
      <c r="D24" s="7"/>
      <c r="E24" s="8">
        <f>SUM(D20:D22)</f>
        <v>6864.5</v>
      </c>
      <c r="F24" s="7"/>
      <c r="G24" s="7"/>
      <c r="H24" s="8">
        <f>+G22+G21</f>
        <v>7950</v>
      </c>
    </row>
    <row r="25" spans="1:8" x14ac:dyDescent="0.2">
      <c r="E25" s="8"/>
      <c r="F25" s="7"/>
      <c r="H25" s="8"/>
    </row>
    <row r="26" spans="1:8" ht="19.5" customHeight="1" x14ac:dyDescent="0.2">
      <c r="A26" s="1" t="s">
        <v>15</v>
      </c>
      <c r="D26" s="7"/>
      <c r="E26" s="8">
        <f>+E18-E24</f>
        <v>635.5</v>
      </c>
      <c r="F26" s="7"/>
      <c r="G26" s="7"/>
      <c r="H26" s="8">
        <f>+H18-H24</f>
        <v>50</v>
      </c>
    </row>
    <row r="27" spans="1:8" x14ac:dyDescent="0.2">
      <c r="E27" s="7"/>
      <c r="F27" s="7"/>
      <c r="H27" s="7"/>
    </row>
    <row r="28" spans="1:8" x14ac:dyDescent="0.2">
      <c r="A28" s="20" t="s">
        <v>16</v>
      </c>
      <c r="E28" s="7"/>
      <c r="F28" s="7"/>
      <c r="H28" s="7"/>
    </row>
    <row r="29" spans="1:8" x14ac:dyDescent="0.2">
      <c r="A29" t="s">
        <v>17</v>
      </c>
      <c r="D29" s="5">
        <v>0</v>
      </c>
      <c r="E29" s="8"/>
      <c r="F29" s="7"/>
      <c r="G29" s="5">
        <v>0</v>
      </c>
      <c r="H29" s="8"/>
    </row>
    <row r="30" spans="1:8" ht="13.5" thickBot="1" x14ac:dyDescent="0.25">
      <c r="A30" t="s">
        <v>28</v>
      </c>
      <c r="D30" s="6">
        <f>+E26</f>
        <v>635.5</v>
      </c>
      <c r="E30" s="8"/>
      <c r="F30" s="7"/>
      <c r="G30" s="6">
        <f>+H26</f>
        <v>50</v>
      </c>
      <c r="H30" s="8"/>
    </row>
    <row r="31" spans="1:8" ht="19.5" customHeight="1" x14ac:dyDescent="0.2">
      <c r="A31" s="3"/>
      <c r="D31" s="7"/>
      <c r="E31" s="8">
        <f>+D30+D29</f>
        <v>635.5</v>
      </c>
      <c r="F31" s="7"/>
      <c r="G31" s="7"/>
      <c r="H31" s="8">
        <f>+G30+G29</f>
        <v>50</v>
      </c>
    </row>
    <row r="32" spans="1:8" ht="19.5" customHeight="1" x14ac:dyDescent="0.2">
      <c r="A32" s="3"/>
      <c r="D32" s="7"/>
      <c r="E32" s="8"/>
      <c r="F32" s="7"/>
      <c r="G32" s="7"/>
      <c r="H32" s="8"/>
    </row>
    <row r="33" spans="1:9" ht="19.5" customHeight="1" x14ac:dyDescent="0.2">
      <c r="A33" s="3"/>
      <c r="D33" s="7"/>
      <c r="E33" s="7"/>
      <c r="F33" s="7"/>
      <c r="G33" s="7"/>
      <c r="H33" s="7"/>
    </row>
    <row r="34" spans="1:9" ht="19.5" customHeight="1" x14ac:dyDescent="0.2">
      <c r="A34" s="3"/>
      <c r="D34" s="7"/>
      <c r="E34" s="7"/>
      <c r="F34" s="7"/>
      <c r="G34" s="7"/>
      <c r="H34" s="7"/>
    </row>
    <row r="36" spans="1:9" x14ac:dyDescent="0.2">
      <c r="A36" t="s">
        <v>43</v>
      </c>
    </row>
    <row r="37" spans="1:9" x14ac:dyDescent="0.2">
      <c r="A37" t="s">
        <v>47</v>
      </c>
    </row>
    <row r="38" spans="1:9" x14ac:dyDescent="0.2">
      <c r="B38" t="s">
        <v>44</v>
      </c>
    </row>
    <row r="39" spans="1:9" x14ac:dyDescent="0.2">
      <c r="B39" t="s">
        <v>45</v>
      </c>
    </row>
    <row r="41" spans="1:9" x14ac:dyDescent="0.2">
      <c r="A41" t="s">
        <v>46</v>
      </c>
    </row>
    <row r="42" spans="1:9" x14ac:dyDescent="0.2">
      <c r="B42" t="s">
        <v>48</v>
      </c>
    </row>
    <row r="43" spans="1:9" x14ac:dyDescent="0.2">
      <c r="B43" t="s">
        <v>49</v>
      </c>
    </row>
    <row r="44" spans="1:9" x14ac:dyDescent="0.2">
      <c r="C44" t="s">
        <v>54</v>
      </c>
      <c r="H44" s="4">
        <v>1500</v>
      </c>
    </row>
    <row r="45" spans="1:9" x14ac:dyDescent="0.2">
      <c r="C45" t="s">
        <v>50</v>
      </c>
      <c r="G45" s="23" t="s">
        <v>53</v>
      </c>
      <c r="H45" s="4">
        <v>3500</v>
      </c>
      <c r="I45" s="24"/>
    </row>
    <row r="46" spans="1:9" x14ac:dyDescent="0.2">
      <c r="C46" t="s">
        <v>51</v>
      </c>
      <c r="G46" s="23" t="s">
        <v>53</v>
      </c>
      <c r="H46" s="4">
        <f>55+297.5</f>
        <v>352.5</v>
      </c>
    </row>
    <row r="47" spans="1:9" ht="15" x14ac:dyDescent="0.35">
      <c r="C47" t="s">
        <v>52</v>
      </c>
      <c r="G47" s="23" t="s">
        <v>53</v>
      </c>
      <c r="H47" s="25">
        <v>1500</v>
      </c>
    </row>
    <row r="48" spans="1:9" x14ac:dyDescent="0.2">
      <c r="E48" t="s">
        <v>55</v>
      </c>
      <c r="G48" s="23" t="s">
        <v>53</v>
      </c>
      <c r="H48" s="4">
        <f>+H44+H45+H46+H47</f>
        <v>6852.5</v>
      </c>
    </row>
    <row r="50" spans="1:8" x14ac:dyDescent="0.2">
      <c r="A50" t="s">
        <v>5</v>
      </c>
    </row>
    <row r="51" spans="1:8" x14ac:dyDescent="0.2">
      <c r="B51" t="s">
        <v>71</v>
      </c>
      <c r="G51" s="23" t="s">
        <v>53</v>
      </c>
      <c r="H51">
        <v>12</v>
      </c>
    </row>
    <row r="52" spans="1:8" x14ac:dyDescent="0.2">
      <c r="B52" t="s">
        <v>56</v>
      </c>
    </row>
    <row r="53" spans="1:8" x14ac:dyDescent="0.2">
      <c r="C53" t="s">
        <v>59</v>
      </c>
      <c r="G53" s="23" t="s">
        <v>53</v>
      </c>
      <c r="H53">
        <v>446.25</v>
      </c>
    </row>
    <row r="54" spans="1:8" x14ac:dyDescent="0.2">
      <c r="C54" t="s">
        <v>58</v>
      </c>
      <c r="G54" s="23" t="s">
        <v>53</v>
      </c>
      <c r="H54">
        <v>493.26</v>
      </c>
    </row>
    <row r="55" spans="1:8" x14ac:dyDescent="0.2">
      <c r="B55" t="s">
        <v>68</v>
      </c>
      <c r="G55" s="23"/>
    </row>
    <row r="56" spans="1:8" x14ac:dyDescent="0.2">
      <c r="C56" t="s">
        <v>64</v>
      </c>
      <c r="G56" s="23" t="s">
        <v>53</v>
      </c>
      <c r="H56" s="4">
        <v>7500</v>
      </c>
    </row>
    <row r="57" spans="1:8" x14ac:dyDescent="0.2">
      <c r="C57" s="24" t="s">
        <v>60</v>
      </c>
      <c r="E57">
        <v>1100</v>
      </c>
      <c r="G57" s="23"/>
      <c r="H57" s="4"/>
    </row>
    <row r="58" spans="1:8" x14ac:dyDescent="0.2">
      <c r="C58" s="24" t="s">
        <v>61</v>
      </c>
      <c r="E58">
        <v>1100</v>
      </c>
      <c r="G58" s="23"/>
      <c r="H58" s="4"/>
    </row>
    <row r="59" spans="1:8" x14ac:dyDescent="0.2">
      <c r="C59" s="24" t="s">
        <v>62</v>
      </c>
      <c r="E59">
        <v>1100</v>
      </c>
      <c r="G59" s="23"/>
      <c r="H59" s="4"/>
    </row>
    <row r="60" spans="1:8" x14ac:dyDescent="0.2">
      <c r="C60" s="24" t="s">
        <v>63</v>
      </c>
      <c r="E60">
        <v>4200</v>
      </c>
      <c r="G60" s="23"/>
      <c r="H60" s="4"/>
    </row>
    <row r="61" spans="1:8" x14ac:dyDescent="0.2">
      <c r="C61" t="s">
        <v>65</v>
      </c>
      <c r="G61" s="23" t="s">
        <v>53</v>
      </c>
      <c r="H61" s="4">
        <v>7500</v>
      </c>
    </row>
    <row r="62" spans="1:8" x14ac:dyDescent="0.2">
      <c r="C62" s="24" t="s">
        <v>66</v>
      </c>
      <c r="E62">
        <v>5000</v>
      </c>
    </row>
    <row r="63" spans="1:8" x14ac:dyDescent="0.2">
      <c r="C63" s="24" t="s">
        <v>67</v>
      </c>
      <c r="E63">
        <v>2500</v>
      </c>
    </row>
    <row r="72" spans="1:1" x14ac:dyDescent="0.2">
      <c r="A72" s="21"/>
    </row>
  </sheetData>
  <mergeCells count="4">
    <mergeCell ref="D3:E3"/>
    <mergeCell ref="D4:E4"/>
    <mergeCell ref="G4:H4"/>
    <mergeCell ref="G3:H3"/>
  </mergeCells>
  <phoneticPr fontId="6" type="noConversion"/>
  <pageMargins left="0.75" right="0.75" top="1" bottom="1" header="0.5" footer="0.5"/>
  <pageSetup paperSize="9" scale="78" orientation="portrait"/>
  <headerFooter alignWithMargins="0">
    <oddHeader>&amp;L&amp;"Arial,Vet"&amp;16Stichting Drie Wassende Manen</oddHeader>
    <oddFooter>&amp;L&amp;F, &amp;A&amp;R&amp;D &amp;T</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32"/>
  <sheetViews>
    <sheetView zoomScaleNormal="100" workbookViewId="0">
      <selection activeCell="A32" sqref="A32"/>
    </sheetView>
  </sheetViews>
  <sheetFormatPr defaultColWidth="8.85546875" defaultRowHeight="12.75" x14ac:dyDescent="0.2"/>
  <cols>
    <col min="1" max="1" width="6.42578125" customWidth="1"/>
    <col min="3" max="3" width="18.85546875" customWidth="1"/>
    <col min="4" max="4" width="11.28515625" style="4" bestFit="1" customWidth="1"/>
    <col min="5" max="5" width="9.42578125" bestFit="1" customWidth="1"/>
    <col min="6" max="6" width="9.42578125" style="4" bestFit="1" customWidth="1"/>
    <col min="7" max="7" width="9.28515625" style="4" bestFit="1" customWidth="1"/>
    <col min="8" max="13" width="9.42578125" style="4" bestFit="1" customWidth="1"/>
  </cols>
  <sheetData>
    <row r="1" spans="1:13" ht="20.25" x14ac:dyDescent="0.3">
      <c r="A1" s="10" t="s">
        <v>36</v>
      </c>
    </row>
    <row r="3" spans="1:13" x14ac:dyDescent="0.2">
      <c r="D3" s="278" t="s">
        <v>18</v>
      </c>
      <c r="E3" s="278"/>
      <c r="F3" s="278" t="s">
        <v>19</v>
      </c>
      <c r="G3" s="278"/>
      <c r="H3" s="278" t="s">
        <v>20</v>
      </c>
      <c r="I3" s="278"/>
      <c r="J3" s="278" t="s">
        <v>37</v>
      </c>
      <c r="K3" s="278"/>
      <c r="L3" s="278" t="s">
        <v>38</v>
      </c>
      <c r="M3" s="278"/>
    </row>
    <row r="4" spans="1:13" ht="15.75" x14ac:dyDescent="0.25">
      <c r="A4" s="2" t="s">
        <v>0</v>
      </c>
      <c r="E4" s="8"/>
      <c r="G4" s="8"/>
      <c r="I4" s="8"/>
      <c r="K4" s="8"/>
      <c r="M4" s="8"/>
    </row>
    <row r="5" spans="1:13" x14ac:dyDescent="0.2">
      <c r="A5" t="s">
        <v>11</v>
      </c>
      <c r="D5" s="5">
        <v>7500</v>
      </c>
      <c r="E5" s="8"/>
      <c r="F5" s="5">
        <v>7500</v>
      </c>
      <c r="G5" s="8"/>
      <c r="H5" s="5">
        <v>7500</v>
      </c>
      <c r="I5" s="8"/>
      <c r="J5" s="5">
        <v>7500</v>
      </c>
      <c r="K5" s="8"/>
      <c r="L5" s="5">
        <v>7500</v>
      </c>
      <c r="M5" s="8"/>
    </row>
    <row r="6" spans="1:13" x14ac:dyDescent="0.2">
      <c r="A6" t="s">
        <v>1</v>
      </c>
      <c r="D6" s="5">
        <v>0</v>
      </c>
      <c r="E6" s="8"/>
      <c r="F6" s="5">
        <v>0</v>
      </c>
      <c r="G6" s="8"/>
      <c r="H6" s="5">
        <v>0</v>
      </c>
      <c r="I6" s="8"/>
      <c r="J6" s="5">
        <v>0</v>
      </c>
      <c r="K6" s="8"/>
      <c r="L6" s="5">
        <v>0</v>
      </c>
      <c r="M6" s="8"/>
    </row>
    <row r="7" spans="1:13" x14ac:dyDescent="0.2">
      <c r="A7" t="s">
        <v>2</v>
      </c>
      <c r="D7" s="5">
        <v>0</v>
      </c>
      <c r="E7" s="8"/>
      <c r="F7" s="5">
        <v>0</v>
      </c>
      <c r="G7" s="8"/>
      <c r="H7" s="5">
        <v>0</v>
      </c>
      <c r="I7" s="8"/>
      <c r="J7" s="5">
        <v>0</v>
      </c>
      <c r="K7" s="8"/>
      <c r="L7" s="5">
        <v>0</v>
      </c>
      <c r="M7" s="8"/>
    </row>
    <row r="8" spans="1:13" ht="13.5" thickBot="1" x14ac:dyDescent="0.25">
      <c r="A8" t="s">
        <v>39</v>
      </c>
      <c r="D8" s="6">
        <v>500</v>
      </c>
      <c r="E8" s="8"/>
      <c r="F8" s="6">
        <v>100</v>
      </c>
      <c r="G8" s="8"/>
      <c r="H8" s="6">
        <v>100</v>
      </c>
      <c r="I8" s="8"/>
      <c r="J8" s="6">
        <v>100</v>
      </c>
      <c r="K8" s="8"/>
      <c r="L8" s="6">
        <v>100</v>
      </c>
      <c r="M8" s="8"/>
    </row>
    <row r="9" spans="1:13" ht="19.5" customHeight="1" x14ac:dyDescent="0.2">
      <c r="A9" s="3" t="s">
        <v>3</v>
      </c>
      <c r="D9" s="7"/>
      <c r="E9" s="8">
        <f>SUM(D5:D8)</f>
        <v>8000</v>
      </c>
      <c r="F9" s="7"/>
      <c r="G9" s="8">
        <f>SUM(F5:F8)</f>
        <v>7600</v>
      </c>
      <c r="H9" s="7"/>
      <c r="I9" s="8">
        <f>SUM(H5:H8)</f>
        <v>7600</v>
      </c>
      <c r="J9" s="7"/>
      <c r="K9" s="8">
        <f>SUM(J5:J8)</f>
        <v>7600</v>
      </c>
      <c r="L9" s="7"/>
      <c r="M9" s="8">
        <f>SUM(L5:L8)</f>
        <v>7600</v>
      </c>
    </row>
    <row r="10" spans="1:13" x14ac:dyDescent="0.2">
      <c r="E10" s="8"/>
      <c r="G10" s="8"/>
      <c r="I10" s="8"/>
      <c r="K10" s="8"/>
      <c r="M10" s="8"/>
    </row>
    <row r="11" spans="1:13" x14ac:dyDescent="0.2">
      <c r="A11" t="s">
        <v>4</v>
      </c>
      <c r="D11" s="4">
        <v>0</v>
      </c>
      <c r="E11" s="8"/>
      <c r="F11" s="4">
        <v>0</v>
      </c>
      <c r="G11" s="8"/>
      <c r="H11" s="4">
        <v>0</v>
      </c>
      <c r="I11" s="8"/>
      <c r="J11" s="4">
        <v>0</v>
      </c>
      <c r="K11" s="8"/>
      <c r="L11" s="4">
        <v>0</v>
      </c>
      <c r="M11" s="8"/>
    </row>
    <row r="12" spans="1:13" ht="13.5" thickBot="1" x14ac:dyDescent="0.25">
      <c r="A12" t="s">
        <v>5</v>
      </c>
      <c r="D12" s="9">
        <v>0</v>
      </c>
      <c r="E12" s="8"/>
      <c r="F12" s="9">
        <v>0</v>
      </c>
      <c r="G12" s="8"/>
      <c r="H12" s="9">
        <v>0</v>
      </c>
      <c r="I12" s="8"/>
      <c r="J12" s="9">
        <v>0</v>
      </c>
      <c r="K12" s="8"/>
      <c r="L12" s="9">
        <v>0</v>
      </c>
      <c r="M12" s="8"/>
    </row>
    <row r="13" spans="1:13" ht="19.5" customHeight="1" x14ac:dyDescent="0.2">
      <c r="A13" s="3" t="s">
        <v>6</v>
      </c>
      <c r="D13" s="7"/>
      <c r="E13" s="8">
        <f>-SUM(D11:D12)</f>
        <v>0</v>
      </c>
      <c r="F13" s="7"/>
      <c r="G13" s="8">
        <f>-SUM(F11:F12)</f>
        <v>0</v>
      </c>
      <c r="H13" s="7"/>
      <c r="I13" s="8">
        <f>-SUM(H11:H12)</f>
        <v>0</v>
      </c>
      <c r="J13" s="7"/>
      <c r="K13" s="8">
        <f>-SUM(J11:J12)</f>
        <v>0</v>
      </c>
      <c r="L13" s="7"/>
      <c r="M13" s="8">
        <f>-SUM(L11:L12)</f>
        <v>0</v>
      </c>
    </row>
    <row r="14" spans="1:13" ht="13.5" thickBot="1" x14ac:dyDescent="0.25">
      <c r="A14" t="s">
        <v>14</v>
      </c>
      <c r="E14" s="19">
        <f>+E13/E9</f>
        <v>0</v>
      </c>
      <c r="G14" s="19">
        <f>+G13/G9</f>
        <v>0</v>
      </c>
      <c r="I14" s="19">
        <f>+I13/I9</f>
        <v>0</v>
      </c>
      <c r="K14" s="19">
        <f>+K13/K9</f>
        <v>0</v>
      </c>
      <c r="M14" s="19">
        <f>+M13/M9</f>
        <v>0</v>
      </c>
    </row>
    <row r="15" spans="1:13" ht="19.5" customHeight="1" x14ac:dyDescent="0.2">
      <c r="A15" s="3" t="s">
        <v>8</v>
      </c>
      <c r="D15" s="7"/>
      <c r="E15" s="8">
        <f>+E9+E13</f>
        <v>8000</v>
      </c>
      <c r="F15" s="7"/>
      <c r="G15" s="8">
        <f>+G9+G13</f>
        <v>7600</v>
      </c>
      <c r="H15" s="7"/>
      <c r="I15" s="8">
        <f>+I9+I13</f>
        <v>7600</v>
      </c>
      <c r="J15" s="7"/>
      <c r="K15" s="8">
        <f>+K9+K13</f>
        <v>7600</v>
      </c>
      <c r="L15" s="7"/>
      <c r="M15" s="8">
        <f>+M9+M13</f>
        <v>7600</v>
      </c>
    </row>
    <row r="16" spans="1:13" ht="13.5" thickBot="1" x14ac:dyDescent="0.25">
      <c r="A16" t="s">
        <v>7</v>
      </c>
      <c r="E16" s="16">
        <v>0</v>
      </c>
      <c r="G16" s="16">
        <v>0</v>
      </c>
      <c r="I16" s="16">
        <v>0</v>
      </c>
      <c r="K16" s="16">
        <v>0</v>
      </c>
      <c r="M16" s="16">
        <f>0.05*'prognose balansen'!N16</f>
        <v>0</v>
      </c>
    </row>
    <row r="17" spans="1:13" ht="19.5" customHeight="1" x14ac:dyDescent="0.2">
      <c r="A17" s="3" t="s">
        <v>9</v>
      </c>
      <c r="D17" s="7"/>
      <c r="E17" s="8">
        <f>+E16+E15</f>
        <v>8000</v>
      </c>
      <c r="F17" s="7"/>
      <c r="G17" s="8">
        <f>+G16+G15</f>
        <v>7600</v>
      </c>
      <c r="H17" s="7"/>
      <c r="I17" s="8">
        <f>+I16+I15</f>
        <v>7600</v>
      </c>
      <c r="J17" s="7"/>
      <c r="K17" s="8">
        <f>+K16+K15</f>
        <v>7600</v>
      </c>
      <c r="L17" s="7"/>
      <c r="M17" s="8">
        <f>+M16+M15</f>
        <v>7600</v>
      </c>
    </row>
    <row r="18" spans="1:13" x14ac:dyDescent="0.2">
      <c r="E18" s="8"/>
      <c r="G18" s="8"/>
      <c r="I18" s="8"/>
      <c r="K18" s="8"/>
      <c r="M18" s="8"/>
    </row>
    <row r="19" spans="1:13" ht="15.75" x14ac:dyDescent="0.25">
      <c r="A19" s="2" t="s">
        <v>10</v>
      </c>
      <c r="E19" s="8"/>
      <c r="G19" s="8"/>
      <c r="I19" s="8"/>
      <c r="K19" s="8"/>
      <c r="M19" s="8"/>
    </row>
    <row r="20" spans="1:13" x14ac:dyDescent="0.2">
      <c r="A20" t="s">
        <v>12</v>
      </c>
      <c r="D20" s="4">
        <v>7500</v>
      </c>
      <c r="E20" s="8"/>
      <c r="F20" s="4">
        <v>7500</v>
      </c>
      <c r="G20" s="8"/>
      <c r="H20" s="4">
        <v>7500</v>
      </c>
      <c r="I20" s="8"/>
      <c r="J20" s="4">
        <v>7500</v>
      </c>
      <c r="K20" s="8"/>
      <c r="L20" s="4">
        <v>7500</v>
      </c>
      <c r="M20" s="8"/>
    </row>
    <row r="21" spans="1:13" ht="13.5" thickBot="1" x14ac:dyDescent="0.25">
      <c r="A21" t="s">
        <v>5</v>
      </c>
      <c r="D21" s="9">
        <v>450</v>
      </c>
      <c r="E21" s="8"/>
      <c r="F21" s="9">
        <v>100</v>
      </c>
      <c r="G21" s="8"/>
      <c r="H21" s="9">
        <v>100</v>
      </c>
      <c r="I21" s="8"/>
      <c r="J21" s="9">
        <v>100</v>
      </c>
      <c r="K21" s="8"/>
      <c r="L21" s="9">
        <v>100</v>
      </c>
      <c r="M21" s="8"/>
    </row>
    <row r="22" spans="1:13" x14ac:dyDescent="0.2">
      <c r="E22" s="8"/>
      <c r="G22" s="8"/>
      <c r="I22" s="8"/>
      <c r="K22" s="8"/>
      <c r="M22" s="8"/>
    </row>
    <row r="23" spans="1:13" ht="19.5" customHeight="1" x14ac:dyDescent="0.2">
      <c r="A23" s="3" t="s">
        <v>13</v>
      </c>
      <c r="D23" s="7"/>
      <c r="E23" s="8">
        <f>+D21+D20</f>
        <v>7950</v>
      </c>
      <c r="F23" s="7"/>
      <c r="G23" s="8">
        <f>+F21+F20</f>
        <v>7600</v>
      </c>
      <c r="H23" s="7"/>
      <c r="I23" s="8">
        <f>+H21+H20</f>
        <v>7600</v>
      </c>
      <c r="J23" s="7"/>
      <c r="K23" s="8">
        <f>+J21+J20</f>
        <v>7600</v>
      </c>
      <c r="L23" s="7"/>
      <c r="M23" s="8">
        <f>+L21+L20</f>
        <v>7600</v>
      </c>
    </row>
    <row r="24" spans="1:13" x14ac:dyDescent="0.2">
      <c r="E24" s="8"/>
      <c r="G24" s="8"/>
      <c r="I24" s="8"/>
      <c r="K24" s="8"/>
      <c r="M24" s="8"/>
    </row>
    <row r="25" spans="1:13" ht="19.5" customHeight="1" x14ac:dyDescent="0.2">
      <c r="A25" s="1" t="s">
        <v>15</v>
      </c>
      <c r="D25" s="7"/>
      <c r="E25" s="8">
        <f>+E17-E23</f>
        <v>50</v>
      </c>
      <c r="F25" s="7"/>
      <c r="G25" s="8">
        <f>+G17-G23</f>
        <v>0</v>
      </c>
      <c r="H25" s="7"/>
      <c r="I25" s="8">
        <f>+I17-I23</f>
        <v>0</v>
      </c>
      <c r="J25" s="7"/>
      <c r="K25" s="8">
        <f>+K17-K23</f>
        <v>0</v>
      </c>
      <c r="L25" s="7"/>
      <c r="M25" s="8">
        <f>+M17-M23</f>
        <v>0</v>
      </c>
    </row>
    <row r="26" spans="1:13" x14ac:dyDescent="0.2">
      <c r="E26" s="7"/>
      <c r="G26" s="7"/>
      <c r="I26" s="7"/>
      <c r="K26" s="7"/>
      <c r="M26" s="7"/>
    </row>
    <row r="27" spans="1:13" x14ac:dyDescent="0.2">
      <c r="A27" s="20" t="s">
        <v>16</v>
      </c>
      <c r="E27" s="7"/>
      <c r="G27" s="7"/>
      <c r="I27" s="7"/>
      <c r="K27" s="7"/>
      <c r="M27" s="7"/>
    </row>
    <row r="28" spans="1:13" x14ac:dyDescent="0.2">
      <c r="A28" t="s">
        <v>17</v>
      </c>
      <c r="D28" s="4">
        <v>0</v>
      </c>
      <c r="E28" s="8"/>
      <c r="F28" s="4">
        <v>0</v>
      </c>
      <c r="G28" s="8"/>
      <c r="H28" s="4">
        <v>0</v>
      </c>
      <c r="I28" s="8"/>
      <c r="J28" s="4">
        <v>0</v>
      </c>
      <c r="K28" s="8"/>
      <c r="L28" s="4">
        <v>0</v>
      </c>
      <c r="M28" s="8"/>
    </row>
    <row r="29" spans="1:13" ht="13.5" thickBot="1" x14ac:dyDescent="0.25">
      <c r="A29" t="s">
        <v>28</v>
      </c>
      <c r="D29" s="9">
        <f>+E25</f>
        <v>50</v>
      </c>
      <c r="E29" s="8"/>
      <c r="F29" s="9">
        <f>+G25</f>
        <v>0</v>
      </c>
      <c r="G29" s="8"/>
      <c r="H29" s="9">
        <f>+I25</f>
        <v>0</v>
      </c>
      <c r="I29" s="8"/>
      <c r="J29" s="9">
        <f>+K25</f>
        <v>0</v>
      </c>
      <c r="K29" s="8"/>
      <c r="L29" s="9">
        <f>+M25</f>
        <v>0</v>
      </c>
      <c r="M29" s="8"/>
    </row>
    <row r="30" spans="1:13" ht="19.5" customHeight="1" x14ac:dyDescent="0.2">
      <c r="A30" s="3"/>
      <c r="D30" s="7"/>
      <c r="E30" s="8">
        <f>+D29+D28</f>
        <v>50</v>
      </c>
      <c r="F30" s="7"/>
      <c r="G30" s="8">
        <f>+F29+F28</f>
        <v>0</v>
      </c>
      <c r="H30" s="7"/>
      <c r="I30" s="8">
        <f>+H29+H28</f>
        <v>0</v>
      </c>
      <c r="J30" s="7"/>
      <c r="K30" s="8">
        <f>+J29+J28</f>
        <v>0</v>
      </c>
      <c r="L30" s="7"/>
      <c r="M30" s="8">
        <f>+L29+L28</f>
        <v>0</v>
      </c>
    </row>
    <row r="32" spans="1:13" x14ac:dyDescent="0.2">
      <c r="A32" s="21" t="s">
        <v>40</v>
      </c>
    </row>
  </sheetData>
  <mergeCells count="5">
    <mergeCell ref="D3:E3"/>
    <mergeCell ref="J3:K3"/>
    <mergeCell ref="L3:M3"/>
    <mergeCell ref="H3:I3"/>
    <mergeCell ref="F3:G3"/>
  </mergeCells>
  <phoneticPr fontId="6" type="noConversion"/>
  <pageMargins left="0.75" right="0.75" top="1" bottom="1" header="0.5" footer="0.5"/>
  <pageSetup paperSize="9" scale="98" orientation="landscape"/>
  <headerFooter alignWithMargins="0">
    <oddHeader>&amp;L&amp;"Arial,Vet"&amp;16Stichting Drie Wassende Manen</oddHeader>
    <oddFooter>&amp;L&amp;F, &amp;A&amp;Cpagina &amp;P van &amp;N&amp;R&amp;D &amp;T</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29"/>
  <sheetViews>
    <sheetView zoomScaleNormal="100" workbookViewId="0">
      <selection activeCell="D35" sqref="D35"/>
    </sheetView>
  </sheetViews>
  <sheetFormatPr defaultColWidth="8.85546875" defaultRowHeight="12.75" x14ac:dyDescent="0.2"/>
  <cols>
    <col min="1" max="1" width="6.42578125" customWidth="1"/>
    <col min="3" max="3" width="18.85546875" customWidth="1"/>
    <col min="10" max="13" width="9.140625" style="5" customWidth="1"/>
  </cols>
  <sheetData>
    <row r="1" spans="1:13" ht="20.25" x14ac:dyDescent="0.3">
      <c r="A1" s="10" t="s">
        <v>35</v>
      </c>
    </row>
    <row r="3" spans="1:13" x14ac:dyDescent="0.2">
      <c r="D3" s="279">
        <v>40178</v>
      </c>
      <c r="E3" s="279"/>
      <c r="F3" s="279">
        <v>40543</v>
      </c>
      <c r="G3" s="279"/>
      <c r="H3" s="279">
        <v>40908</v>
      </c>
      <c r="I3" s="279"/>
      <c r="J3" s="279">
        <v>41274</v>
      </c>
      <c r="K3" s="279"/>
      <c r="L3" s="279">
        <v>41639</v>
      </c>
      <c r="M3" s="279"/>
    </row>
    <row r="4" spans="1:13" ht="15.75" x14ac:dyDescent="0.25">
      <c r="A4" s="2" t="s">
        <v>21</v>
      </c>
      <c r="D4" s="5"/>
      <c r="E4" s="8"/>
      <c r="F4" s="5"/>
      <c r="G4" s="8"/>
      <c r="H4" s="5"/>
      <c r="I4" s="8"/>
      <c r="K4" s="8"/>
      <c r="M4" s="8"/>
    </row>
    <row r="5" spans="1:13" s="12" customFormat="1" ht="19.5" customHeight="1" x14ac:dyDescent="0.2">
      <c r="A5" s="11" t="s">
        <v>23</v>
      </c>
      <c r="D5" s="13"/>
      <c r="E5" s="14"/>
      <c r="F5" s="13"/>
      <c r="G5" s="14"/>
      <c r="H5" s="13"/>
      <c r="I5" s="14"/>
      <c r="J5" s="13"/>
      <c r="K5" s="14"/>
      <c r="L5" s="13"/>
      <c r="M5" s="14"/>
    </row>
    <row r="6" spans="1:13" x14ac:dyDescent="0.2">
      <c r="A6" t="s">
        <v>25</v>
      </c>
      <c r="D6" s="5"/>
      <c r="E6" s="8">
        <v>0</v>
      </c>
      <c r="F6" s="5"/>
      <c r="G6" s="8">
        <v>0</v>
      </c>
      <c r="H6" s="5"/>
      <c r="I6" s="8">
        <v>0</v>
      </c>
      <c r="K6" s="8">
        <v>0</v>
      </c>
      <c r="M6" s="8">
        <v>0</v>
      </c>
    </row>
    <row r="7" spans="1:13" x14ac:dyDescent="0.2">
      <c r="D7" s="5"/>
      <c r="E7" s="8"/>
      <c r="F7" s="5"/>
      <c r="G7" s="8"/>
      <c r="H7" s="5"/>
      <c r="I7" s="8"/>
      <c r="K7" s="8"/>
      <c r="M7" s="8"/>
    </row>
    <row r="8" spans="1:13" s="12" customFormat="1" ht="19.5" customHeight="1" x14ac:dyDescent="0.2">
      <c r="A8" s="11" t="s">
        <v>24</v>
      </c>
      <c r="D8" s="13"/>
      <c r="E8" s="14"/>
      <c r="F8" s="13"/>
      <c r="G8" s="14"/>
      <c r="H8" s="13"/>
      <c r="I8" s="14"/>
      <c r="J8" s="13"/>
      <c r="K8" s="14"/>
      <c r="L8" s="13"/>
      <c r="M8" s="14"/>
    </row>
    <row r="9" spans="1:13" x14ac:dyDescent="0.2">
      <c r="A9" t="s">
        <v>26</v>
      </c>
      <c r="D9" s="5">
        <v>0</v>
      </c>
      <c r="E9" s="15"/>
      <c r="F9" s="5">
        <v>0</v>
      </c>
      <c r="G9" s="15"/>
      <c r="H9" s="5">
        <v>0</v>
      </c>
      <c r="I9" s="15"/>
      <c r="J9" s="5">
        <v>0</v>
      </c>
      <c r="K9" s="15"/>
      <c r="L9" s="5">
        <v>0</v>
      </c>
      <c r="M9" s="15"/>
    </row>
    <row r="10" spans="1:13" ht="13.5" thickBot="1" x14ac:dyDescent="0.25">
      <c r="A10" t="s">
        <v>27</v>
      </c>
      <c r="D10" s="6">
        <v>50</v>
      </c>
      <c r="E10" s="8"/>
      <c r="F10" s="6">
        <v>50</v>
      </c>
      <c r="G10" s="8"/>
      <c r="H10" s="6">
        <v>50</v>
      </c>
      <c r="I10" s="8"/>
      <c r="J10" s="6">
        <v>50</v>
      </c>
      <c r="K10" s="8"/>
      <c r="L10" s="6">
        <v>50</v>
      </c>
      <c r="M10" s="8"/>
    </row>
    <row r="11" spans="1:13" ht="13.5" thickBot="1" x14ac:dyDescent="0.25">
      <c r="D11" s="5"/>
      <c r="E11" s="16">
        <f>+D10+D9</f>
        <v>50</v>
      </c>
      <c r="F11" s="5"/>
      <c r="G11" s="16">
        <f>+F10+F9</f>
        <v>50</v>
      </c>
      <c r="H11" s="5"/>
      <c r="I11" s="16">
        <f>+H10+H9</f>
        <v>50</v>
      </c>
      <c r="K11" s="16">
        <f>+J10+J9</f>
        <v>50</v>
      </c>
      <c r="M11" s="16">
        <f>+L10+L9</f>
        <v>50</v>
      </c>
    </row>
    <row r="12" spans="1:13" ht="19.5" customHeight="1" x14ac:dyDescent="0.2">
      <c r="A12" s="3"/>
      <c r="D12" s="7"/>
      <c r="E12" s="18">
        <f>+E11+E6</f>
        <v>50</v>
      </c>
      <c r="F12" s="7"/>
      <c r="G12" s="18">
        <f>+G11+G6</f>
        <v>50</v>
      </c>
      <c r="H12" s="7"/>
      <c r="I12" s="18">
        <f>+I11+I6</f>
        <v>50</v>
      </c>
      <c r="J12" s="7"/>
      <c r="K12" s="18">
        <f>+K11+K6</f>
        <v>50</v>
      </c>
      <c r="L12" s="7"/>
      <c r="M12" s="18">
        <f>+M11+M6</f>
        <v>50</v>
      </c>
    </row>
    <row r="13" spans="1:13" x14ac:dyDescent="0.2">
      <c r="D13" s="5"/>
      <c r="E13" s="8"/>
      <c r="F13" s="5"/>
      <c r="G13" s="8"/>
      <c r="H13" s="5"/>
      <c r="I13" s="8"/>
      <c r="K13" s="8"/>
      <c r="M13" s="8"/>
    </row>
    <row r="14" spans="1:13" ht="15.75" x14ac:dyDescent="0.25">
      <c r="A14" s="2" t="s">
        <v>22</v>
      </c>
      <c r="D14" s="5"/>
      <c r="E14" s="8"/>
      <c r="F14" s="5"/>
      <c r="G14" s="8"/>
      <c r="H14" s="5"/>
      <c r="I14" s="8"/>
      <c r="K14" s="8"/>
      <c r="M14" s="8"/>
    </row>
    <row r="15" spans="1:13" ht="19.5" customHeight="1" x14ac:dyDescent="0.2">
      <c r="A15" s="11" t="s">
        <v>29</v>
      </c>
      <c r="D15" s="5"/>
      <c r="E15" s="8"/>
      <c r="F15" s="5"/>
      <c r="G15" s="8"/>
      <c r="H15" s="5"/>
      <c r="I15" s="8"/>
      <c r="K15" s="8"/>
      <c r="M15" s="8"/>
    </row>
    <row r="16" spans="1:13" x14ac:dyDescent="0.2">
      <c r="A16" t="s">
        <v>28</v>
      </c>
      <c r="D16" s="5">
        <v>50</v>
      </c>
      <c r="E16" s="8"/>
      <c r="F16" s="5">
        <v>50</v>
      </c>
      <c r="G16" s="8"/>
      <c r="H16" s="5">
        <v>50</v>
      </c>
      <c r="I16" s="8"/>
      <c r="J16" s="5">
        <f>+H16+'meerjarenbegroting '!F29</f>
        <v>50</v>
      </c>
      <c r="K16" s="8"/>
      <c r="L16" s="5">
        <f>+J16+'meerjarenbegroting '!H29</f>
        <v>50</v>
      </c>
      <c r="M16" s="8"/>
    </row>
    <row r="17" spans="1:13" ht="13.5" thickBot="1" x14ac:dyDescent="0.25">
      <c r="A17" t="s">
        <v>17</v>
      </c>
      <c r="D17" s="6">
        <v>0</v>
      </c>
      <c r="E17" s="8"/>
      <c r="F17" s="6">
        <v>0</v>
      </c>
      <c r="G17" s="8"/>
      <c r="H17" s="6">
        <v>0</v>
      </c>
      <c r="I17" s="8"/>
      <c r="J17" s="6">
        <v>0</v>
      </c>
      <c r="K17" s="8"/>
      <c r="L17" s="6">
        <f>+'meerjarenbegroting '!H28</f>
        <v>0</v>
      </c>
      <c r="M17" s="8"/>
    </row>
    <row r="18" spans="1:13" s="12" customFormat="1" ht="13.5" customHeight="1" x14ac:dyDescent="0.2">
      <c r="D18" s="13"/>
      <c r="E18" s="14">
        <f>+D17+D16</f>
        <v>50</v>
      </c>
      <c r="F18" s="13"/>
      <c r="G18" s="14">
        <f>+F17+F16</f>
        <v>50</v>
      </c>
      <c r="H18" s="13"/>
      <c r="I18" s="14">
        <f>+H17+H16</f>
        <v>50</v>
      </c>
      <c r="J18" s="13"/>
      <c r="K18" s="14">
        <f>+J17+J16</f>
        <v>50</v>
      </c>
      <c r="L18" s="13"/>
      <c r="M18" s="14">
        <f>+L17+L16</f>
        <v>50</v>
      </c>
    </row>
    <row r="19" spans="1:13" x14ac:dyDescent="0.2">
      <c r="D19" s="5"/>
      <c r="E19" s="8"/>
      <c r="F19" s="5"/>
      <c r="G19" s="8"/>
      <c r="H19" s="5"/>
      <c r="I19" s="8"/>
      <c r="K19" s="8"/>
      <c r="M19" s="8"/>
    </row>
    <row r="20" spans="1:13" s="12" customFormat="1" ht="19.5" customHeight="1" thickBot="1" x14ac:dyDescent="0.25">
      <c r="A20" s="11" t="s">
        <v>30</v>
      </c>
      <c r="D20" s="13"/>
      <c r="E20" s="17">
        <f>+D19+D18</f>
        <v>0</v>
      </c>
      <c r="F20" s="13"/>
      <c r="G20" s="17">
        <f>+F19+F18</f>
        <v>0</v>
      </c>
      <c r="H20" s="13"/>
      <c r="I20" s="17">
        <f>+H19+H18</f>
        <v>0</v>
      </c>
      <c r="J20" s="13"/>
      <c r="K20" s="17">
        <f>+J19+J18</f>
        <v>0</v>
      </c>
      <c r="L20" s="13"/>
      <c r="M20" s="17">
        <f>+L19+L18</f>
        <v>0</v>
      </c>
    </row>
    <row r="21" spans="1:13" ht="19.5" customHeight="1" x14ac:dyDescent="0.2">
      <c r="D21" s="5"/>
      <c r="E21" s="18">
        <f>+E18+E20</f>
        <v>50</v>
      </c>
      <c r="F21" s="5"/>
      <c r="G21" s="18">
        <f>+G18+G20</f>
        <v>50</v>
      </c>
      <c r="H21" s="5"/>
      <c r="I21" s="18">
        <f>+I18+I20</f>
        <v>50</v>
      </c>
      <c r="K21" s="18">
        <f>+K18+K20</f>
        <v>50</v>
      </c>
      <c r="M21" s="18">
        <f>+M18+M20</f>
        <v>50</v>
      </c>
    </row>
    <row r="22" spans="1:13" ht="19.5" customHeight="1" x14ac:dyDescent="0.2">
      <c r="D22" s="5"/>
      <c r="E22" s="18"/>
      <c r="F22" s="5"/>
      <c r="G22" s="18"/>
      <c r="H22" s="5"/>
      <c r="I22" s="18"/>
      <c r="K22" s="18"/>
      <c r="M22" s="18"/>
    </row>
    <row r="23" spans="1:13" ht="19.5" customHeight="1" x14ac:dyDescent="0.2">
      <c r="D23" s="5"/>
      <c r="E23" s="18"/>
      <c r="F23" s="5"/>
      <c r="G23" s="18"/>
      <c r="H23" s="5"/>
      <c r="I23" s="18"/>
      <c r="K23" s="18"/>
      <c r="M23" s="18"/>
    </row>
    <row r="24" spans="1:13" x14ac:dyDescent="0.2">
      <c r="D24" s="5"/>
      <c r="E24" s="7"/>
      <c r="F24" s="5"/>
      <c r="G24" s="5"/>
      <c r="H24" s="5"/>
      <c r="I24" s="5"/>
    </row>
    <row r="25" spans="1:13" x14ac:dyDescent="0.2">
      <c r="D25" s="5"/>
      <c r="E25" s="7"/>
      <c r="F25" s="5"/>
      <c r="G25" s="5"/>
      <c r="H25" s="5"/>
      <c r="I25" s="5"/>
    </row>
    <row r="27" spans="1:13" x14ac:dyDescent="0.2">
      <c r="A27" t="s">
        <v>31</v>
      </c>
      <c r="C27" t="s">
        <v>32</v>
      </c>
      <c r="E27" s="22">
        <v>40150</v>
      </c>
    </row>
    <row r="28" spans="1:13" x14ac:dyDescent="0.2">
      <c r="A28" t="s">
        <v>34</v>
      </c>
    </row>
    <row r="29" spans="1:13" x14ac:dyDescent="0.2">
      <c r="A29" t="s">
        <v>33</v>
      </c>
    </row>
  </sheetData>
  <mergeCells count="5">
    <mergeCell ref="L3:M3"/>
    <mergeCell ref="J3:K3"/>
    <mergeCell ref="D3:E3"/>
    <mergeCell ref="H3:I3"/>
    <mergeCell ref="F3:G3"/>
  </mergeCells>
  <phoneticPr fontId="6" type="noConversion"/>
  <pageMargins left="0.75" right="0.75" top="1" bottom="1" header="0.5" footer="0.5"/>
  <pageSetup paperSize="9" scale="98" orientation="landscape"/>
  <headerFooter alignWithMargins="0">
    <oddHeader>&amp;L&amp;"Arial,Vet"&amp;16Stichting Drie Wassende Manen</oddHeader>
    <oddFooter>&amp;L&amp;F, &amp;A&amp;Cpagina &amp;P van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685-449F-4C4E-A377-5B2D121E5C9B}">
  <sheetPr>
    <pageSetUpPr fitToPage="1"/>
  </sheetPr>
  <dimension ref="A1:AR56"/>
  <sheetViews>
    <sheetView zoomScale="101" zoomScaleNormal="100" workbookViewId="0">
      <selection activeCell="E27" sqref="E27"/>
    </sheetView>
  </sheetViews>
  <sheetFormatPr defaultColWidth="8.85546875" defaultRowHeight="12.75" x14ac:dyDescent="0.2"/>
  <cols>
    <col min="1" max="1" width="2.42578125" customWidth="1"/>
    <col min="2" max="2" width="6.85546875" customWidth="1"/>
    <col min="3" max="3" width="25.85546875" customWidth="1"/>
    <col min="4" max="5" width="10.28515625" customWidth="1"/>
    <col min="6" max="6" width="2.42578125" customWidth="1"/>
    <col min="7" max="7" width="10.28515625" style="32" customWidth="1"/>
    <col min="8" max="8" width="10.28515625" style="4" customWidth="1"/>
    <col min="9" max="9" width="2.42578125" customWidth="1"/>
    <col min="10" max="10" width="10.28515625" style="32" bestFit="1" customWidth="1"/>
    <col min="11" max="11" width="9.7109375" style="4" customWidth="1"/>
    <col min="12" max="12" width="2.42578125" customWidth="1"/>
    <col min="13" max="13" width="10.140625" style="32" customWidth="1"/>
    <col min="14" max="14" width="10.28515625" style="4" customWidth="1"/>
    <col min="15" max="15" width="2.42578125" customWidth="1"/>
    <col min="16" max="16" width="10.140625" style="32" bestFit="1" customWidth="1"/>
    <col min="17" max="17" width="10.140625" bestFit="1" customWidth="1"/>
    <col min="18" max="18" width="2.42578125" customWidth="1"/>
    <col min="19" max="19" width="10.28515625" style="32" bestFit="1" customWidth="1"/>
    <col min="20" max="20" width="10.28515625" bestFit="1" customWidth="1"/>
    <col min="21" max="21" width="2.42578125" customWidth="1"/>
    <col min="22" max="22" width="10.28515625" style="32" bestFit="1" customWidth="1"/>
    <col min="23" max="23" width="10.28515625" bestFit="1" customWidth="1"/>
    <col min="24" max="24" width="2.42578125" customWidth="1"/>
    <col min="25" max="25" width="10.28515625" style="32" customWidth="1"/>
    <col min="27" max="27" width="2.42578125" customWidth="1"/>
    <col min="28" max="28" width="10.28515625" style="4" bestFit="1" customWidth="1"/>
    <col min="30" max="30" width="2.42578125" customWidth="1"/>
    <col min="32" max="32" width="10.28515625" bestFit="1" customWidth="1"/>
    <col min="33" max="33" width="2.42578125" customWidth="1"/>
    <col min="36" max="36" width="2.42578125" customWidth="1"/>
    <col min="37" max="37" width="9.140625" style="5" customWidth="1"/>
    <col min="39" max="39" width="2.42578125" customWidth="1"/>
    <col min="41" max="41" width="10.28515625" customWidth="1"/>
    <col min="42" max="42" width="2.42578125" customWidth="1"/>
    <col min="44" max="44" width="10.28515625" customWidth="1"/>
  </cols>
  <sheetData>
    <row r="1" spans="1:44" ht="20.25" x14ac:dyDescent="0.3">
      <c r="A1" s="10" t="s">
        <v>74</v>
      </c>
    </row>
    <row r="3" spans="1:44" x14ac:dyDescent="0.2">
      <c r="D3" s="233">
        <v>2023</v>
      </c>
      <c r="E3" s="234"/>
      <c r="G3" s="235" t="s">
        <v>713</v>
      </c>
      <c r="H3" s="236"/>
      <c r="J3" s="235" t="s">
        <v>702</v>
      </c>
      <c r="K3" s="236"/>
      <c r="M3" s="235" t="s">
        <v>640</v>
      </c>
      <c r="N3" s="236"/>
      <c r="P3" s="249" t="s">
        <v>587</v>
      </c>
      <c r="Q3" s="236"/>
      <c r="S3" s="249" t="s">
        <v>513</v>
      </c>
      <c r="T3" s="236"/>
      <c r="U3" s="27"/>
      <c r="V3" s="249" t="s">
        <v>439</v>
      </c>
      <c r="W3" s="236"/>
      <c r="X3" s="27"/>
      <c r="Y3" s="249" t="s">
        <v>369</v>
      </c>
      <c r="Z3" s="236"/>
      <c r="AA3" s="27"/>
      <c r="AB3" s="249" t="s">
        <v>343</v>
      </c>
      <c r="AC3" s="236"/>
      <c r="AD3" s="27"/>
      <c r="AE3" s="249" t="s">
        <v>290</v>
      </c>
      <c r="AF3" s="236"/>
      <c r="AG3" s="27"/>
      <c r="AH3" s="249" t="s">
        <v>244</v>
      </c>
      <c r="AI3" s="236"/>
      <c r="AJ3" s="27"/>
      <c r="AK3" s="249" t="s">
        <v>230</v>
      </c>
      <c r="AL3" s="236"/>
      <c r="AN3" s="250" t="s">
        <v>368</v>
      </c>
      <c r="AO3" s="236"/>
      <c r="AQ3" s="251" t="s">
        <v>75</v>
      </c>
      <c r="AR3" s="236"/>
    </row>
    <row r="4" spans="1:44" x14ac:dyDescent="0.2">
      <c r="D4" s="230" t="s">
        <v>73</v>
      </c>
      <c r="E4" s="231"/>
      <c r="G4" s="232" t="s">
        <v>73</v>
      </c>
      <c r="H4" s="231"/>
      <c r="J4" s="232" t="s">
        <v>73</v>
      </c>
      <c r="K4" s="231"/>
      <c r="M4" s="232" t="s">
        <v>73</v>
      </c>
      <c r="N4" s="231"/>
      <c r="P4" s="232" t="s">
        <v>73</v>
      </c>
      <c r="Q4" s="231"/>
      <c r="S4" s="232" t="s">
        <v>73</v>
      </c>
      <c r="T4" s="231"/>
      <c r="U4" s="28"/>
      <c r="V4" s="232" t="s">
        <v>73</v>
      </c>
      <c r="W4" s="231"/>
      <c r="X4" s="28"/>
      <c r="Y4" s="232" t="s">
        <v>73</v>
      </c>
      <c r="Z4" s="231"/>
      <c r="AA4" s="28"/>
      <c r="AB4" s="232" t="s">
        <v>73</v>
      </c>
      <c r="AC4" s="231"/>
      <c r="AD4" s="28"/>
      <c r="AE4" s="232" t="s">
        <v>73</v>
      </c>
      <c r="AF4" s="231"/>
      <c r="AG4" s="28"/>
      <c r="AH4" s="232" t="s">
        <v>73</v>
      </c>
      <c r="AI4" s="231"/>
      <c r="AJ4" s="28"/>
      <c r="AK4" s="232" t="s">
        <v>73</v>
      </c>
      <c r="AL4" s="231"/>
      <c r="AN4" s="232" t="s">
        <v>73</v>
      </c>
      <c r="AO4" s="231"/>
      <c r="AQ4" s="232" t="s">
        <v>73</v>
      </c>
      <c r="AR4" s="231"/>
    </row>
    <row r="5" spans="1:44" ht="15.75" x14ac:dyDescent="0.25">
      <c r="A5" s="2" t="s">
        <v>0</v>
      </c>
      <c r="D5" s="32"/>
      <c r="E5" s="8"/>
      <c r="H5" s="8"/>
      <c r="J5" s="32">
        <v>7500</v>
      </c>
      <c r="K5" s="8"/>
      <c r="M5" s="44"/>
      <c r="N5" s="8"/>
      <c r="P5" s="44"/>
      <c r="Q5" s="8"/>
      <c r="S5" s="44"/>
      <c r="T5" s="8"/>
      <c r="U5" s="7"/>
      <c r="V5" s="44"/>
      <c r="W5" s="8"/>
      <c r="X5" s="7"/>
      <c r="Y5" s="44"/>
      <c r="Z5" s="8"/>
      <c r="AA5" s="7"/>
      <c r="AB5" s="44"/>
      <c r="AC5" s="8"/>
      <c r="AD5" s="7"/>
      <c r="AE5" s="5"/>
      <c r="AF5" s="8"/>
      <c r="AG5" s="7"/>
      <c r="AH5" s="5"/>
      <c r="AI5" s="8"/>
      <c r="AJ5" s="7"/>
      <c r="AL5" s="8"/>
      <c r="AN5" s="5"/>
      <c r="AO5" s="8"/>
      <c r="AQ5" s="5"/>
      <c r="AR5" s="8"/>
    </row>
    <row r="6" spans="1:44" x14ac:dyDescent="0.2">
      <c r="A6" t="s">
        <v>11</v>
      </c>
      <c r="D6" s="32">
        <v>7500</v>
      </c>
      <c r="E6" s="8"/>
      <c r="G6" s="32">
        <f>-'kolommenbalans 2022'!H35</f>
        <v>7500</v>
      </c>
      <c r="H6" s="8"/>
      <c r="K6" s="8"/>
      <c r="M6" s="32">
        <v>7500</v>
      </c>
      <c r="N6" s="8"/>
      <c r="P6" s="32">
        <f>+'winst en verlies 2019'!D6</f>
        <v>30965.32</v>
      </c>
      <c r="Q6" s="8"/>
      <c r="S6" s="32">
        <f>'kolommenbalans 2018'!K44</f>
        <v>19796.57</v>
      </c>
      <c r="T6" s="8"/>
      <c r="U6" s="7"/>
      <c r="V6" s="32">
        <v>20251.940000000002</v>
      </c>
      <c r="W6" s="8"/>
      <c r="X6" s="7"/>
      <c r="Y6" s="32">
        <v>18100</v>
      </c>
      <c r="Z6" s="8"/>
      <c r="AA6" s="7"/>
      <c r="AB6" s="32">
        <v>21500</v>
      </c>
      <c r="AC6" s="8"/>
      <c r="AD6" s="7"/>
      <c r="AE6" s="4">
        <v>7500</v>
      </c>
      <c r="AF6" s="8"/>
      <c r="AG6" s="7"/>
      <c r="AI6" s="8"/>
      <c r="AJ6" s="7"/>
      <c r="AK6"/>
      <c r="AL6" s="8"/>
      <c r="AN6" s="5">
        <v>7500</v>
      </c>
      <c r="AO6" s="8"/>
      <c r="AR6" s="8"/>
    </row>
    <row r="7" spans="1:44" x14ac:dyDescent="0.2">
      <c r="A7" t="s">
        <v>1</v>
      </c>
      <c r="D7" s="32"/>
      <c r="E7" s="8"/>
      <c r="H7" s="8"/>
      <c r="K7" s="8"/>
      <c r="M7" s="32">
        <v>0</v>
      </c>
      <c r="N7" s="8"/>
      <c r="P7" s="32">
        <v>0</v>
      </c>
      <c r="Q7" s="8"/>
      <c r="S7" s="32">
        <v>0</v>
      </c>
      <c r="T7" s="8"/>
      <c r="U7" s="7"/>
      <c r="V7" s="32">
        <v>0</v>
      </c>
      <c r="W7" s="8"/>
      <c r="X7" s="7"/>
      <c r="Y7" s="32">
        <f>+'winst en verlies 2016'!G7</f>
        <v>0</v>
      </c>
      <c r="Z7" s="8"/>
      <c r="AA7" s="7"/>
      <c r="AB7" s="32">
        <v>0</v>
      </c>
      <c r="AC7" s="8"/>
      <c r="AD7" s="7"/>
      <c r="AE7" s="5">
        <v>0</v>
      </c>
      <c r="AF7" s="8"/>
      <c r="AG7" s="7"/>
      <c r="AH7" s="5">
        <v>0</v>
      </c>
      <c r="AI7" s="8"/>
      <c r="AJ7" s="7"/>
      <c r="AK7" s="5">
        <v>0</v>
      </c>
      <c r="AL7" s="8"/>
      <c r="AN7" s="5">
        <v>0</v>
      </c>
      <c r="AO7" s="8"/>
      <c r="AQ7" s="5">
        <v>0</v>
      </c>
      <c r="AR7" s="8"/>
    </row>
    <row r="8" spans="1:44" x14ac:dyDescent="0.2">
      <c r="A8" t="s">
        <v>2</v>
      </c>
      <c r="D8" s="32"/>
      <c r="E8" s="8"/>
      <c r="H8" s="8"/>
      <c r="J8" s="32">
        <v>168.00000000000003</v>
      </c>
      <c r="K8" s="8"/>
      <c r="M8" s="32">
        <v>0</v>
      </c>
      <c r="N8" s="8"/>
      <c r="P8" s="32">
        <v>0</v>
      </c>
      <c r="Q8" s="8"/>
      <c r="S8" s="32">
        <v>0</v>
      </c>
      <c r="T8" s="8"/>
      <c r="U8" s="7"/>
      <c r="V8" s="32">
        <v>0</v>
      </c>
      <c r="W8" s="8"/>
      <c r="X8" s="7"/>
      <c r="Y8" s="32">
        <f>+'winst en verlies 2016'!G8</f>
        <v>0</v>
      </c>
      <c r="Z8" s="8"/>
      <c r="AA8" s="7"/>
      <c r="AB8" s="32">
        <v>0</v>
      </c>
      <c r="AC8" s="8"/>
      <c r="AD8" s="7"/>
      <c r="AE8" s="5">
        <v>0</v>
      </c>
      <c r="AF8" s="8"/>
      <c r="AG8" s="7"/>
      <c r="AH8" s="5">
        <v>7500</v>
      </c>
      <c r="AI8" s="8"/>
      <c r="AJ8" s="7"/>
      <c r="AK8" s="5">
        <v>7500</v>
      </c>
      <c r="AL8" s="8"/>
      <c r="AN8" s="5"/>
      <c r="AO8" s="8"/>
      <c r="AQ8" s="5">
        <v>7500</v>
      </c>
      <c r="AR8" s="8"/>
    </row>
    <row r="9" spans="1:44" x14ac:dyDescent="0.2">
      <c r="A9" s="70" t="s">
        <v>432</v>
      </c>
      <c r="D9" s="32">
        <f>+E43</f>
        <v>372.89999999999986</v>
      </c>
      <c r="E9" s="8"/>
      <c r="G9" s="32">
        <v>221.11</v>
      </c>
      <c r="H9" s="8"/>
      <c r="J9" s="32">
        <v>0</v>
      </c>
      <c r="K9" s="8"/>
      <c r="M9" s="32">
        <v>168.92999999999998</v>
      </c>
      <c r="N9" s="8"/>
      <c r="P9" s="32">
        <f>+'winst en verlies 2019'!D9</f>
        <v>253.60000000000002</v>
      </c>
      <c r="Q9" s="8"/>
      <c r="S9" s="32">
        <f>-'kolommenbalans 2018'!N38</f>
        <v>119.92</v>
      </c>
      <c r="T9" s="8"/>
      <c r="U9" s="7"/>
      <c r="V9" s="32">
        <v>173.56</v>
      </c>
      <c r="W9" s="8"/>
      <c r="X9" s="7"/>
      <c r="Y9" s="32">
        <v>334.54</v>
      </c>
      <c r="Z9" s="8"/>
      <c r="AA9" s="7"/>
      <c r="AB9" s="32"/>
      <c r="AC9" s="8"/>
      <c r="AD9" s="7"/>
      <c r="AE9" s="5"/>
      <c r="AF9" s="8"/>
      <c r="AG9" s="7"/>
      <c r="AH9" s="5"/>
      <c r="AI9" s="8"/>
      <c r="AJ9" s="7"/>
      <c r="AL9" s="8"/>
      <c r="AN9" s="5"/>
      <c r="AO9" s="8"/>
      <c r="AQ9" s="5"/>
      <c r="AR9" s="8"/>
    </row>
    <row r="10" spans="1:44" ht="13.5" thickBot="1" x14ac:dyDescent="0.25">
      <c r="A10" s="70" t="s">
        <v>431</v>
      </c>
      <c r="D10" s="103">
        <f>1688.38-1675.01</f>
        <v>13.370000000000118</v>
      </c>
      <c r="E10" s="8"/>
      <c r="G10" s="103"/>
      <c r="H10" s="8"/>
      <c r="J10" s="103">
        <v>0</v>
      </c>
      <c r="K10" s="8"/>
      <c r="M10" s="103">
        <v>0</v>
      </c>
      <c r="N10" s="8"/>
      <c r="P10" s="103">
        <f>'kolommenbalans 2018'!I44</f>
        <v>0</v>
      </c>
      <c r="Q10" s="8"/>
      <c r="S10" s="103">
        <f>'kolommenbalans 2018'!L44</f>
        <v>3.67</v>
      </c>
      <c r="T10" s="8"/>
      <c r="U10" s="7"/>
      <c r="V10" s="103">
        <v>14.62</v>
      </c>
      <c r="W10" s="8"/>
      <c r="X10" s="7"/>
      <c r="Y10" s="103">
        <v>32.479999999999997</v>
      </c>
      <c r="Z10" s="8"/>
      <c r="AA10" s="7"/>
      <c r="AB10" s="103">
        <v>217.11</v>
      </c>
      <c r="AC10" s="8"/>
      <c r="AD10" s="7"/>
      <c r="AE10" s="6">
        <v>183</v>
      </c>
      <c r="AF10" s="8"/>
      <c r="AG10" s="7"/>
      <c r="AH10" s="6">
        <v>112</v>
      </c>
      <c r="AI10" s="8"/>
      <c r="AJ10" s="7"/>
      <c r="AK10" s="6">
        <v>62</v>
      </c>
      <c r="AL10" s="8"/>
      <c r="AN10" s="6">
        <v>100</v>
      </c>
      <c r="AO10" s="8"/>
      <c r="AQ10" s="6">
        <v>86.56</v>
      </c>
      <c r="AR10" s="8"/>
    </row>
    <row r="11" spans="1:44" ht="19.5" customHeight="1" x14ac:dyDescent="0.2">
      <c r="A11" s="3" t="s">
        <v>3</v>
      </c>
      <c r="D11" s="32"/>
      <c r="E11" s="8">
        <f>+D9+D6+D10</f>
        <v>7886.2699999999995</v>
      </c>
      <c r="G11" s="86"/>
      <c r="H11" s="8">
        <f>+G9+G6</f>
        <v>7721.11</v>
      </c>
      <c r="J11" s="86"/>
      <c r="K11" s="8">
        <v>7668</v>
      </c>
      <c r="M11" s="86"/>
      <c r="N11" s="8">
        <v>7668.93</v>
      </c>
      <c r="P11" s="86"/>
      <c r="Q11" s="8">
        <f>SUM(P6:P10)</f>
        <v>31218.92</v>
      </c>
      <c r="S11" s="86"/>
      <c r="T11" s="8">
        <f>SUM(S6:S10)</f>
        <v>19920.159999999996</v>
      </c>
      <c r="U11" s="7"/>
      <c r="V11" s="86"/>
      <c r="W11" s="8">
        <v>20440.120000000003</v>
      </c>
      <c r="X11" s="7"/>
      <c r="Y11" s="86"/>
      <c r="Z11" s="8">
        <f>SUM(Y6:Y10)</f>
        <v>18467.02</v>
      </c>
      <c r="AA11" s="7"/>
      <c r="AB11" s="86"/>
      <c r="AC11" s="8">
        <v>21717.11</v>
      </c>
      <c r="AD11" s="7"/>
      <c r="AE11" s="7"/>
      <c r="AF11" s="8">
        <f>SUM(AE6:AE10)</f>
        <v>7683</v>
      </c>
      <c r="AG11" s="7"/>
      <c r="AH11" s="7"/>
      <c r="AI11" s="8">
        <f>SUM(AH7:AH10)</f>
        <v>7612</v>
      </c>
      <c r="AJ11" s="7"/>
      <c r="AK11" s="7"/>
      <c r="AL11" s="8">
        <f>SUM(AK7:AK10)</f>
        <v>7562</v>
      </c>
      <c r="AN11" s="7"/>
      <c r="AO11" s="8">
        <f>SUM(AN6:AN10)</f>
        <v>7600</v>
      </c>
      <c r="AQ11" s="7"/>
      <c r="AR11" s="8">
        <v>7586.56</v>
      </c>
    </row>
    <row r="12" spans="1:44" x14ac:dyDescent="0.2">
      <c r="D12" s="32"/>
      <c r="E12" s="8"/>
      <c r="H12" s="8"/>
      <c r="K12" s="8"/>
      <c r="M12" s="44"/>
      <c r="N12" s="8"/>
      <c r="P12" s="44"/>
      <c r="Q12" s="8"/>
      <c r="S12" s="44"/>
      <c r="T12" s="8"/>
      <c r="U12" s="7"/>
      <c r="V12" s="44"/>
      <c r="W12" s="8"/>
      <c r="X12" s="7"/>
      <c r="Y12" s="44"/>
      <c r="Z12" s="8"/>
      <c r="AA12" s="7"/>
      <c r="AB12" s="44"/>
      <c r="AC12" s="8"/>
      <c r="AD12" s="7"/>
      <c r="AE12" s="5"/>
      <c r="AF12" s="8"/>
      <c r="AG12" s="7"/>
      <c r="AH12" s="5"/>
      <c r="AI12" s="8"/>
      <c r="AJ12" s="7"/>
      <c r="AL12" s="8"/>
      <c r="AN12" s="5"/>
      <c r="AO12" s="8"/>
      <c r="AQ12" s="5"/>
      <c r="AR12" s="8"/>
    </row>
    <row r="13" spans="1:44" x14ac:dyDescent="0.2">
      <c r="A13" t="s">
        <v>4</v>
      </c>
      <c r="D13" s="32">
        <v>0</v>
      </c>
      <c r="E13" s="8"/>
      <c r="G13" s="44">
        <v>0</v>
      </c>
      <c r="H13" s="8"/>
      <c r="J13" s="44">
        <v>0</v>
      </c>
      <c r="K13" s="8"/>
      <c r="M13" s="44">
        <v>0</v>
      </c>
      <c r="N13" s="8"/>
      <c r="P13" s="44">
        <v>0</v>
      </c>
      <c r="Q13" s="8"/>
      <c r="S13" s="44">
        <v>0</v>
      </c>
      <c r="T13" s="8"/>
      <c r="U13" s="7"/>
      <c r="V13" s="44">
        <v>0</v>
      </c>
      <c r="W13" s="8"/>
      <c r="X13" s="7"/>
      <c r="Y13" s="44">
        <v>0</v>
      </c>
      <c r="Z13" s="8"/>
      <c r="AA13" s="7"/>
      <c r="AB13" s="44">
        <v>0</v>
      </c>
      <c r="AC13" s="8"/>
      <c r="AD13" s="7"/>
      <c r="AE13" s="5">
        <v>0</v>
      </c>
      <c r="AF13" s="8"/>
      <c r="AG13" s="7"/>
      <c r="AH13" s="5">
        <v>0</v>
      </c>
      <c r="AI13" s="8"/>
      <c r="AJ13" s="7"/>
      <c r="AK13" s="5">
        <v>0</v>
      </c>
      <c r="AL13" s="8"/>
      <c r="AN13" s="5">
        <v>0</v>
      </c>
      <c r="AO13" s="8"/>
      <c r="AQ13" s="5">
        <v>0</v>
      </c>
      <c r="AR13" s="8"/>
    </row>
    <row r="14" spans="1:44" ht="13.5" thickBot="1" x14ac:dyDescent="0.25">
      <c r="A14" t="s">
        <v>5</v>
      </c>
      <c r="D14" s="103">
        <v>0</v>
      </c>
      <c r="E14" s="8">
        <v>0</v>
      </c>
      <c r="G14" s="85">
        <v>0</v>
      </c>
      <c r="H14" s="8">
        <v>0</v>
      </c>
      <c r="J14" s="85">
        <v>0</v>
      </c>
      <c r="K14" s="8">
        <v>0</v>
      </c>
      <c r="M14" s="85">
        <v>0</v>
      </c>
      <c r="N14" s="8"/>
      <c r="P14" s="85">
        <v>0</v>
      </c>
      <c r="Q14" s="8"/>
      <c r="S14" s="85">
        <v>0</v>
      </c>
      <c r="T14" s="8"/>
      <c r="U14" s="7"/>
      <c r="V14" s="85">
        <v>0</v>
      </c>
      <c r="W14" s="8"/>
      <c r="X14" s="7"/>
      <c r="Y14" s="85">
        <v>0</v>
      </c>
      <c r="Z14" s="8"/>
      <c r="AA14" s="7"/>
      <c r="AB14" s="85">
        <v>0</v>
      </c>
      <c r="AC14" s="8"/>
      <c r="AD14" s="7"/>
      <c r="AE14" s="6">
        <v>0</v>
      </c>
      <c r="AF14" s="8"/>
      <c r="AG14" s="7"/>
      <c r="AH14" s="6">
        <v>0</v>
      </c>
      <c r="AI14" s="8"/>
      <c r="AJ14" s="7"/>
      <c r="AK14" s="6">
        <v>0</v>
      </c>
      <c r="AL14" s="8"/>
      <c r="AN14" s="6">
        <v>0</v>
      </c>
      <c r="AO14" s="8"/>
      <c r="AQ14" s="6">
        <v>0</v>
      </c>
      <c r="AR14" s="8"/>
    </row>
    <row r="15" spans="1:44" ht="19.5" customHeight="1" x14ac:dyDescent="0.2">
      <c r="A15" s="3" t="s">
        <v>6</v>
      </c>
      <c r="D15" s="32"/>
      <c r="E15" s="8">
        <v>0</v>
      </c>
      <c r="H15" s="8">
        <v>0</v>
      </c>
      <c r="K15" s="8">
        <v>0</v>
      </c>
      <c r="M15" s="86"/>
      <c r="N15" s="8">
        <v>0</v>
      </c>
      <c r="P15" s="86"/>
      <c r="Q15" s="8">
        <f>-SUM(P13:P14)</f>
        <v>0</v>
      </c>
      <c r="S15" s="86"/>
      <c r="T15" s="8">
        <f>-SUM(S13:S14)</f>
        <v>0</v>
      </c>
      <c r="U15" s="7"/>
      <c r="V15" s="86"/>
      <c r="W15" s="8">
        <v>0</v>
      </c>
      <c r="X15" s="7"/>
      <c r="Y15" s="86"/>
      <c r="Z15" s="8">
        <f>-SUM(Y13:Y14)</f>
        <v>0</v>
      </c>
      <c r="AA15" s="7"/>
      <c r="AB15" s="86"/>
      <c r="AC15" s="8">
        <v>0</v>
      </c>
      <c r="AD15" s="7"/>
      <c r="AE15" s="7"/>
      <c r="AF15" s="8">
        <f>-SUM(AE13:AE14)</f>
        <v>0</v>
      </c>
      <c r="AG15" s="7"/>
      <c r="AH15" s="7"/>
      <c r="AI15" s="8">
        <f>-SUM(AH13:AH14)</f>
        <v>0</v>
      </c>
      <c r="AJ15" s="7"/>
      <c r="AK15" s="7"/>
      <c r="AL15" s="8">
        <f>-SUM(AK13:AK14)</f>
        <v>0</v>
      </c>
      <c r="AN15" s="7"/>
      <c r="AO15" s="8">
        <f>-SUM(AN13:AN14)</f>
        <v>0</v>
      </c>
      <c r="AQ15" s="7"/>
      <c r="AR15" s="8">
        <v>0</v>
      </c>
    </row>
    <row r="16" spans="1:44" ht="13.5" thickBot="1" x14ac:dyDescent="0.25">
      <c r="A16" t="s">
        <v>14</v>
      </c>
      <c r="D16" s="32"/>
      <c r="E16" s="19">
        <v>0</v>
      </c>
      <c r="H16" s="19">
        <v>0</v>
      </c>
      <c r="K16" s="19">
        <v>0</v>
      </c>
      <c r="M16" s="44"/>
      <c r="N16" s="19">
        <f>+N15/N11</f>
        <v>0</v>
      </c>
      <c r="P16" s="44"/>
      <c r="Q16" s="19">
        <f>+Q15/Q11</f>
        <v>0</v>
      </c>
      <c r="S16" s="44"/>
      <c r="T16" s="19">
        <f>+T15/T11</f>
        <v>0</v>
      </c>
      <c r="U16" s="26"/>
      <c r="V16" s="44"/>
      <c r="W16" s="19">
        <v>0</v>
      </c>
      <c r="X16" s="26"/>
      <c r="Y16" s="44"/>
      <c r="Z16" s="19">
        <f>+Z15/Z11</f>
        <v>0</v>
      </c>
      <c r="AA16" s="26"/>
      <c r="AB16" s="44"/>
      <c r="AC16" s="19">
        <v>0</v>
      </c>
      <c r="AD16" s="26"/>
      <c r="AE16" s="5"/>
      <c r="AF16" s="19">
        <f>+AF15/AF11</f>
        <v>0</v>
      </c>
      <c r="AG16" s="26"/>
      <c r="AH16" s="5"/>
      <c r="AI16" s="19">
        <f>+AI15/AI11</f>
        <v>0</v>
      </c>
      <c r="AJ16" s="26"/>
      <c r="AL16" s="19">
        <f>+AL15/AL11</f>
        <v>0</v>
      </c>
      <c r="AN16" s="5"/>
      <c r="AO16" s="19">
        <f>+AO15/AO11</f>
        <v>0</v>
      </c>
      <c r="AQ16" s="5"/>
      <c r="AR16" s="19">
        <v>0</v>
      </c>
    </row>
    <row r="17" spans="1:44" ht="19.5" customHeight="1" x14ac:dyDescent="0.2">
      <c r="A17" s="3" t="s">
        <v>8</v>
      </c>
      <c r="D17" s="32"/>
      <c r="E17" s="214">
        <f>+E11</f>
        <v>7886.2699999999995</v>
      </c>
      <c r="H17" s="214">
        <f>+H11</f>
        <v>7721.11</v>
      </c>
      <c r="K17" s="214">
        <v>7668</v>
      </c>
      <c r="M17" s="86"/>
      <c r="N17" s="8">
        <v>7668.93</v>
      </c>
      <c r="P17" s="86"/>
      <c r="Q17" s="8">
        <f>+Q11+Q15</f>
        <v>31218.92</v>
      </c>
      <c r="S17" s="86"/>
      <c r="T17" s="8">
        <f>+T11+T15</f>
        <v>19920.159999999996</v>
      </c>
      <c r="U17" s="7"/>
      <c r="V17" s="86"/>
      <c r="W17" s="8">
        <v>20440.120000000003</v>
      </c>
      <c r="X17" s="7"/>
      <c r="Y17" s="86"/>
      <c r="Z17" s="8">
        <f>+Z11+Z15</f>
        <v>18467.02</v>
      </c>
      <c r="AA17" s="7"/>
      <c r="AB17" s="86"/>
      <c r="AC17" s="8">
        <v>21717.11</v>
      </c>
      <c r="AD17" s="7"/>
      <c r="AE17" s="7"/>
      <c r="AF17" s="8">
        <f>+AF11+AF15</f>
        <v>7683</v>
      </c>
      <c r="AG17" s="7"/>
      <c r="AH17" s="7"/>
      <c r="AI17" s="8">
        <f>+AI11+AI15</f>
        <v>7612</v>
      </c>
      <c r="AJ17" s="7"/>
      <c r="AK17" s="7"/>
      <c r="AL17" s="8">
        <f>+AL11+AL15</f>
        <v>7562</v>
      </c>
      <c r="AN17" s="7"/>
      <c r="AO17" s="8">
        <f>+AO11+AO15</f>
        <v>7600</v>
      </c>
      <c r="AQ17" s="7"/>
      <c r="AR17" s="8">
        <v>7586.56</v>
      </c>
    </row>
    <row r="18" spans="1:44" ht="13.5" thickBot="1" x14ac:dyDescent="0.25">
      <c r="A18" t="s">
        <v>7</v>
      </c>
      <c r="D18" s="32"/>
      <c r="E18" s="16"/>
      <c r="H18" s="16"/>
      <c r="K18" s="16"/>
      <c r="M18" s="44"/>
      <c r="N18" s="16">
        <v>0</v>
      </c>
      <c r="P18" s="44"/>
      <c r="Q18" s="16">
        <v>0</v>
      </c>
      <c r="S18" s="44"/>
      <c r="T18" s="16">
        <v>0</v>
      </c>
      <c r="U18" s="7"/>
      <c r="V18" s="44"/>
      <c r="W18" s="16">
        <v>0</v>
      </c>
      <c r="X18" s="7"/>
      <c r="Y18" s="44"/>
      <c r="Z18" s="16">
        <v>0</v>
      </c>
      <c r="AA18" s="7"/>
      <c r="AB18" s="44"/>
      <c r="AC18" s="16">
        <v>0</v>
      </c>
      <c r="AD18" s="7"/>
      <c r="AE18" s="5"/>
      <c r="AF18" s="16">
        <v>0</v>
      </c>
      <c r="AG18" s="7"/>
      <c r="AH18" s="5"/>
      <c r="AI18" s="16">
        <v>0</v>
      </c>
      <c r="AJ18" s="7"/>
      <c r="AL18" s="16">
        <v>0</v>
      </c>
      <c r="AN18" s="5"/>
      <c r="AO18" s="16">
        <v>0</v>
      </c>
      <c r="AQ18" s="5"/>
      <c r="AR18" s="16">
        <v>0</v>
      </c>
    </row>
    <row r="19" spans="1:44" ht="19.5" customHeight="1" x14ac:dyDescent="0.2">
      <c r="A19" s="3" t="s">
        <v>9</v>
      </c>
      <c r="D19" s="32"/>
      <c r="E19" s="8">
        <f>+E17</f>
        <v>7886.2699999999995</v>
      </c>
      <c r="H19" s="8">
        <f>+H17</f>
        <v>7721.11</v>
      </c>
      <c r="K19" s="8">
        <f>+K17</f>
        <v>7668</v>
      </c>
      <c r="M19" s="86"/>
      <c r="N19" s="8">
        <v>7668.93</v>
      </c>
      <c r="P19" s="86"/>
      <c r="Q19" s="8">
        <f>+Q18+Q17</f>
        <v>31218.92</v>
      </c>
      <c r="S19" s="86"/>
      <c r="T19" s="8">
        <f>+T18+T17</f>
        <v>19920.159999999996</v>
      </c>
      <c r="U19" s="7"/>
      <c r="V19" s="86"/>
      <c r="W19" s="8">
        <v>20440.120000000003</v>
      </c>
      <c r="X19" s="7"/>
      <c r="Y19" s="86"/>
      <c r="Z19" s="8">
        <f>+Z18+Z17</f>
        <v>18467.02</v>
      </c>
      <c r="AA19" s="7"/>
      <c r="AB19" s="86"/>
      <c r="AC19" s="8">
        <v>21717.11</v>
      </c>
      <c r="AD19" s="7"/>
      <c r="AE19" s="7"/>
      <c r="AF19" s="8">
        <f>+AF18+AF17</f>
        <v>7683</v>
      </c>
      <c r="AG19" s="7"/>
      <c r="AH19" s="7"/>
      <c r="AI19" s="8">
        <f>+AI18+AI17</f>
        <v>7612</v>
      </c>
      <c r="AJ19" s="7"/>
      <c r="AK19" s="7"/>
      <c r="AL19" s="8">
        <f>+AL18+AL17</f>
        <v>7562</v>
      </c>
      <c r="AN19" s="7"/>
      <c r="AO19" s="8">
        <f>+AO18+AO17</f>
        <v>7600</v>
      </c>
      <c r="AQ19" s="7"/>
      <c r="AR19" s="8">
        <v>7586.56</v>
      </c>
    </row>
    <row r="20" spans="1:44" x14ac:dyDescent="0.2">
      <c r="D20" s="32"/>
      <c r="E20" s="8"/>
      <c r="H20" s="8"/>
      <c r="K20" s="8"/>
      <c r="M20" s="44"/>
      <c r="N20" s="8"/>
      <c r="P20" s="44"/>
      <c r="Q20" s="8"/>
      <c r="S20" s="44"/>
      <c r="T20" s="8"/>
      <c r="U20" s="7"/>
      <c r="V20" s="44"/>
      <c r="W20" s="8"/>
      <c r="X20" s="7"/>
      <c r="Y20" s="44"/>
      <c r="Z20" s="8"/>
      <c r="AA20" s="7"/>
      <c r="AB20" s="44"/>
      <c r="AC20" s="8"/>
      <c r="AD20" s="7"/>
      <c r="AE20" s="5"/>
      <c r="AF20" s="8"/>
      <c r="AG20" s="7"/>
      <c r="AH20" s="5"/>
      <c r="AI20" s="8"/>
      <c r="AJ20" s="7"/>
      <c r="AL20" s="8"/>
      <c r="AN20" s="5"/>
      <c r="AO20" s="8"/>
      <c r="AQ20" s="5"/>
      <c r="AR20" s="8"/>
    </row>
    <row r="21" spans="1:44" ht="15.75" x14ac:dyDescent="0.25">
      <c r="A21" s="2" t="s">
        <v>10</v>
      </c>
      <c r="D21" s="32"/>
      <c r="E21" s="8"/>
      <c r="H21" s="8"/>
      <c r="J21" s="32">
        <v>0</v>
      </c>
      <c r="K21" s="8"/>
      <c r="M21" s="44"/>
      <c r="N21" s="8"/>
      <c r="P21" s="44"/>
      <c r="Q21" s="8"/>
      <c r="S21" s="44"/>
      <c r="T21" s="8"/>
      <c r="U21" s="7"/>
      <c r="V21" s="44"/>
      <c r="W21" s="8"/>
      <c r="X21" s="7"/>
      <c r="Y21" s="44"/>
      <c r="Z21" s="8"/>
      <c r="AA21" s="7"/>
      <c r="AB21" s="44"/>
      <c r="AC21" s="8"/>
      <c r="AD21" s="7"/>
      <c r="AE21" s="5"/>
      <c r="AF21" s="8"/>
      <c r="AG21" s="7"/>
      <c r="AH21" s="5"/>
      <c r="AI21" s="8"/>
      <c r="AJ21" s="7"/>
      <c r="AL21" s="8"/>
      <c r="AN21" s="5"/>
      <c r="AO21" s="8"/>
      <c r="AQ21" s="5"/>
      <c r="AR21" s="8"/>
    </row>
    <row r="22" spans="1:44" x14ac:dyDescent="0.2">
      <c r="A22" s="70" t="s">
        <v>578</v>
      </c>
      <c r="D22" s="32">
        <v>4100</v>
      </c>
      <c r="E22" s="8"/>
      <c r="G22" s="32">
        <f>6000</f>
        <v>6000</v>
      </c>
      <c r="H22" s="8"/>
      <c r="J22" s="32">
        <v>0</v>
      </c>
      <c r="K22" s="8"/>
      <c r="M22" s="32">
        <v>17500</v>
      </c>
      <c r="N22" s="8"/>
      <c r="P22" s="44">
        <v>0</v>
      </c>
      <c r="Q22" s="8"/>
      <c r="S22" s="44">
        <f>+'kolommenbalans 2018'!O35</f>
        <v>12768.57</v>
      </c>
      <c r="T22" s="8"/>
      <c r="U22" s="7"/>
      <c r="V22" s="44">
        <v>14851.94</v>
      </c>
      <c r="W22" s="8"/>
      <c r="X22" s="7"/>
      <c r="Y22" s="44">
        <v>32271.66</v>
      </c>
      <c r="Z22" s="8"/>
      <c r="AA22" s="7"/>
      <c r="AB22" s="44">
        <v>12747.69</v>
      </c>
      <c r="AC22" s="8"/>
      <c r="AD22" s="7"/>
      <c r="AE22" s="5">
        <v>6000</v>
      </c>
      <c r="AF22" s="8"/>
      <c r="AG22" s="7"/>
      <c r="AH22" s="5">
        <v>0</v>
      </c>
      <c r="AI22" s="8"/>
      <c r="AJ22" s="7"/>
      <c r="AK22" s="5">
        <v>0</v>
      </c>
      <c r="AL22" s="8"/>
      <c r="AN22" s="5">
        <v>7500</v>
      </c>
      <c r="AO22" s="8"/>
      <c r="AQ22" s="5">
        <v>5053.45</v>
      </c>
      <c r="AR22" s="8"/>
    </row>
    <row r="23" spans="1:44" x14ac:dyDescent="0.2">
      <c r="A23" s="70" t="s">
        <v>580</v>
      </c>
      <c r="D23" s="32"/>
      <c r="E23" s="8"/>
      <c r="G23" s="44">
        <f>+'kolommenbalans 2022'!D68+'kolommenbalans 2022'!D69</f>
        <v>4500</v>
      </c>
      <c r="H23" s="8"/>
      <c r="J23" s="44">
        <v>0</v>
      </c>
      <c r="K23" s="8"/>
      <c r="M23" s="44">
        <v>8500</v>
      </c>
      <c r="N23" s="8"/>
      <c r="P23" s="44">
        <f>+'winst en verlies 2019'!D23</f>
        <v>500</v>
      </c>
      <c r="Q23" s="8"/>
      <c r="S23" s="44">
        <f>-'kolommenbalans 2018'!H39</f>
        <v>15000</v>
      </c>
      <c r="T23" s="8"/>
      <c r="U23" s="7"/>
      <c r="V23" s="44"/>
      <c r="W23" s="8"/>
      <c r="X23" s="7"/>
      <c r="Y23" s="44"/>
      <c r="Z23" s="8"/>
      <c r="AA23" s="7"/>
      <c r="AB23" s="44"/>
      <c r="AC23" s="8"/>
      <c r="AD23" s="7"/>
      <c r="AE23" s="5"/>
      <c r="AF23" s="8"/>
      <c r="AG23" s="7"/>
      <c r="AH23" s="5"/>
      <c r="AI23" s="8"/>
      <c r="AJ23" s="7"/>
      <c r="AL23" s="8"/>
      <c r="AN23" s="5"/>
      <c r="AO23" s="8"/>
      <c r="AQ23" s="5"/>
      <c r="AR23" s="8"/>
    </row>
    <row r="24" spans="1:44" x14ac:dyDescent="0.2">
      <c r="A24" s="70" t="s">
        <v>579</v>
      </c>
      <c r="D24" s="32"/>
      <c r="E24" s="8"/>
      <c r="H24" s="8"/>
      <c r="J24" s="72">
        <v>0</v>
      </c>
      <c r="K24" s="8"/>
      <c r="M24" s="72"/>
      <c r="N24" s="8"/>
      <c r="P24" s="72">
        <f>+'winst en verlies 2019'!D24</f>
        <v>23465.32</v>
      </c>
      <c r="Q24" s="8"/>
      <c r="S24" s="72"/>
      <c r="T24" s="8"/>
      <c r="U24" s="7"/>
      <c r="V24" s="44">
        <v>-3000</v>
      </c>
      <c r="W24" s="8"/>
      <c r="X24" s="7"/>
      <c r="Y24" s="44">
        <v>2500</v>
      </c>
      <c r="Z24" s="8"/>
      <c r="AA24" s="7"/>
      <c r="AB24" s="44">
        <v>5500</v>
      </c>
      <c r="AC24" s="8"/>
      <c r="AD24" s="7"/>
      <c r="AE24" s="5"/>
      <c r="AF24" s="8"/>
      <c r="AG24" s="7"/>
      <c r="AH24" s="5"/>
      <c r="AI24" s="8"/>
      <c r="AJ24" s="7"/>
      <c r="AL24" s="8"/>
      <c r="AN24" s="5"/>
      <c r="AO24" s="8"/>
      <c r="AQ24" s="5"/>
      <c r="AR24" s="8"/>
    </row>
    <row r="25" spans="1:44" ht="12.75" hidden="1" customHeight="1" x14ac:dyDescent="0.2">
      <c r="A25" s="99" t="s">
        <v>421</v>
      </c>
      <c r="D25" s="32">
        <v>0</v>
      </c>
      <c r="E25" s="8"/>
      <c r="G25" s="44">
        <v>0</v>
      </c>
      <c r="H25" s="8"/>
      <c r="K25" s="8"/>
      <c r="M25" s="44"/>
      <c r="N25" s="8"/>
      <c r="P25" s="44">
        <v>0</v>
      </c>
      <c r="Q25" s="8"/>
      <c r="S25" s="44">
        <v>0</v>
      </c>
      <c r="T25" s="8"/>
      <c r="U25" s="7"/>
      <c r="V25" s="44">
        <v>0</v>
      </c>
      <c r="W25" s="8"/>
      <c r="X25" s="7"/>
      <c r="Y25" s="44">
        <v>1021.66</v>
      </c>
      <c r="Z25" s="8"/>
      <c r="AA25" s="7"/>
      <c r="AB25" s="44">
        <v>1252.31</v>
      </c>
      <c r="AC25" s="8"/>
      <c r="AD25" s="7"/>
      <c r="AE25" s="5"/>
      <c r="AF25" s="8"/>
      <c r="AG25" s="7"/>
      <c r="AH25" s="5"/>
      <c r="AI25" s="8"/>
      <c r="AJ25" s="7"/>
      <c r="AL25" s="8"/>
      <c r="AN25" s="5"/>
      <c r="AO25" s="8"/>
      <c r="AQ25" s="5"/>
      <c r="AR25" s="8"/>
    </row>
    <row r="26" spans="1:44" ht="13.5" thickBot="1" x14ac:dyDescent="0.25">
      <c r="A26" t="s">
        <v>5</v>
      </c>
      <c r="D26" s="103">
        <v>372.9</v>
      </c>
      <c r="E26" s="8"/>
      <c r="G26" s="85">
        <v>221.11</v>
      </c>
      <c r="H26" s="8"/>
      <c r="J26" s="44">
        <v>-168.00000000000003</v>
      </c>
      <c r="K26" s="8">
        <v>-168.00000000000003</v>
      </c>
      <c r="M26" s="85">
        <v>168.92999999999998</v>
      </c>
      <c r="N26" s="8"/>
      <c r="P26" s="85">
        <f>+'winst en verlies 2019'!D26</f>
        <v>253.60000000000002</v>
      </c>
      <c r="Q26" s="8"/>
      <c r="S26" s="85">
        <f>+'kolommenbalans concept'!N34</f>
        <v>119.92</v>
      </c>
      <c r="T26" s="8"/>
      <c r="U26" s="7"/>
      <c r="V26" s="85">
        <v>173.56</v>
      </c>
      <c r="W26" s="8"/>
      <c r="X26" s="7"/>
      <c r="Y26" s="85">
        <v>334.54</v>
      </c>
      <c r="Z26" s="8"/>
      <c r="AA26" s="7"/>
      <c r="AB26" s="85">
        <v>163.28</v>
      </c>
      <c r="AC26" s="8"/>
      <c r="AD26" s="7"/>
      <c r="AE26" s="6">
        <v>112</v>
      </c>
      <c r="AF26" s="8"/>
      <c r="AG26" s="7"/>
      <c r="AH26" s="6">
        <v>100</v>
      </c>
      <c r="AI26" s="8"/>
      <c r="AJ26" s="7"/>
      <c r="AK26" s="9" t="s">
        <v>351</v>
      </c>
      <c r="AL26" s="8"/>
      <c r="AN26" s="6">
        <v>100</v>
      </c>
      <c r="AO26" s="8"/>
      <c r="AQ26" s="6">
        <v>74.56</v>
      </c>
      <c r="AR26" s="8"/>
    </row>
    <row r="27" spans="1:44" ht="19.5" customHeight="1" x14ac:dyDescent="0.2">
      <c r="A27" s="3" t="s">
        <v>13</v>
      </c>
      <c r="D27" s="32"/>
      <c r="E27" s="8">
        <f>-SUM(D22:D26)</f>
        <v>-4472.8999999999996</v>
      </c>
      <c r="G27" s="86"/>
      <c r="H27" s="8">
        <v>-10721</v>
      </c>
      <c r="J27" s="86"/>
      <c r="K27" s="8"/>
      <c r="M27" s="86"/>
      <c r="N27" s="8">
        <v>26168.93</v>
      </c>
      <c r="P27" s="86"/>
      <c r="Q27" s="8">
        <f>SUM(P21:P26)</f>
        <v>24218.92</v>
      </c>
      <c r="S27" s="86"/>
      <c r="T27" s="8">
        <f>SUM(S21:S26)</f>
        <v>27888.489999999998</v>
      </c>
      <c r="U27" s="7"/>
      <c r="V27" s="86"/>
      <c r="W27" s="8">
        <v>12025.5</v>
      </c>
      <c r="X27" s="7"/>
      <c r="Y27" s="86"/>
      <c r="Z27" s="8">
        <f>SUM(Y21:Y26)</f>
        <v>36127.860000000008</v>
      </c>
      <c r="AA27" s="7"/>
      <c r="AB27" s="86"/>
      <c r="AC27" s="8">
        <v>19663.280000000002</v>
      </c>
      <c r="AD27" s="7"/>
      <c r="AE27" s="7"/>
      <c r="AF27" s="8">
        <f>SUM(AE21:AE26)</f>
        <v>6112</v>
      </c>
      <c r="AG27" s="7"/>
      <c r="AH27" s="7"/>
      <c r="AI27" s="8">
        <f>SUM(AH21:AH26)</f>
        <v>100</v>
      </c>
      <c r="AJ27" s="7"/>
      <c r="AK27" s="7"/>
      <c r="AL27" s="8">
        <f>SUM(AK21:AK26)</f>
        <v>0</v>
      </c>
      <c r="AN27" s="7"/>
      <c r="AO27" s="8">
        <f>+AN26+AN22</f>
        <v>7600</v>
      </c>
      <c r="AQ27" s="7"/>
      <c r="AR27" s="8">
        <v>5128.01</v>
      </c>
    </row>
    <row r="28" spans="1:44" x14ac:dyDescent="0.2">
      <c r="D28" s="32"/>
      <c r="E28" s="8"/>
      <c r="G28" s="44"/>
      <c r="H28" s="8"/>
      <c r="J28" s="44"/>
      <c r="K28" s="8"/>
      <c r="M28" s="44"/>
      <c r="N28" s="8"/>
      <c r="P28" s="44"/>
      <c r="Q28" s="8"/>
      <c r="S28" s="44"/>
      <c r="T28" s="8"/>
      <c r="U28" s="7"/>
      <c r="V28" s="44"/>
      <c r="W28" s="8"/>
      <c r="X28" s="7"/>
      <c r="Y28" s="44"/>
      <c r="Z28" s="8"/>
      <c r="AA28" s="7"/>
      <c r="AB28" s="44"/>
      <c r="AC28" s="8"/>
      <c r="AD28" s="7"/>
      <c r="AE28" s="5"/>
      <c r="AF28" s="8"/>
      <c r="AG28" s="7"/>
      <c r="AH28" s="5"/>
      <c r="AI28" s="8"/>
      <c r="AJ28" s="7"/>
      <c r="AL28" s="8"/>
      <c r="AN28" s="5"/>
      <c r="AO28" s="8"/>
      <c r="AQ28" s="5"/>
      <c r="AR28" s="8"/>
    </row>
    <row r="29" spans="1:44" ht="19.5" customHeight="1" x14ac:dyDescent="0.2">
      <c r="A29" s="1" t="s">
        <v>15</v>
      </c>
      <c r="D29" s="32"/>
      <c r="E29" s="8">
        <f>+E27+E19</f>
        <v>3413.37</v>
      </c>
      <c r="G29" s="86"/>
      <c r="H29" s="8">
        <v>-3000</v>
      </c>
      <c r="J29" s="86"/>
      <c r="K29" s="8">
        <v>7500</v>
      </c>
      <c r="M29" s="86"/>
      <c r="N29" s="8">
        <v>-18500</v>
      </c>
      <c r="P29" s="86"/>
      <c r="Q29" s="8">
        <f>+Q19-Q27</f>
        <v>7000</v>
      </c>
      <c r="S29" s="86"/>
      <c r="T29" s="8">
        <f>+T19-T27</f>
        <v>-7968.3300000000017</v>
      </c>
      <c r="U29" s="7"/>
      <c r="V29" s="86"/>
      <c r="W29" s="8">
        <v>8414.6200000000026</v>
      </c>
      <c r="X29" s="7"/>
      <c r="Y29" s="86"/>
      <c r="Z29" s="8">
        <f>+Z19-Z27</f>
        <v>-17660.840000000007</v>
      </c>
      <c r="AA29" s="7"/>
      <c r="AB29" s="86"/>
      <c r="AC29" s="8">
        <v>2053.8299999999981</v>
      </c>
      <c r="AD29" s="7"/>
      <c r="AE29" s="7"/>
      <c r="AF29" s="8">
        <f>+AF19-AF27</f>
        <v>1571</v>
      </c>
      <c r="AG29" s="7"/>
      <c r="AH29" s="7"/>
      <c r="AI29" s="8">
        <f>+AI19-AI27</f>
        <v>7512</v>
      </c>
      <c r="AJ29" s="7"/>
      <c r="AK29" s="7"/>
      <c r="AL29" s="8">
        <f>+AL19-AL27</f>
        <v>7562</v>
      </c>
      <c r="AN29" s="7"/>
      <c r="AO29" s="8">
        <f>+AO19-AO27</f>
        <v>0</v>
      </c>
      <c r="AQ29" s="7"/>
      <c r="AR29" s="8">
        <v>2458.5500000000002</v>
      </c>
    </row>
    <row r="30" spans="1:44" x14ac:dyDescent="0.2">
      <c r="D30" s="32"/>
      <c r="E30" s="4"/>
      <c r="H30" s="219"/>
      <c r="M30" s="44"/>
      <c r="N30" s="7"/>
      <c r="P30" s="44"/>
      <c r="Q30" s="7"/>
      <c r="S30" s="44"/>
      <c r="T30" s="7"/>
      <c r="U30" s="7"/>
      <c r="V30" s="44"/>
      <c r="W30" s="7"/>
      <c r="X30" s="7"/>
      <c r="Y30" s="44"/>
      <c r="Z30" s="7"/>
      <c r="AA30" s="7"/>
      <c r="AB30" s="44"/>
      <c r="AC30" s="7"/>
      <c r="AD30" s="7"/>
      <c r="AE30" s="5"/>
      <c r="AF30" s="7"/>
      <c r="AG30" s="7"/>
      <c r="AH30" s="5"/>
      <c r="AI30" s="7"/>
      <c r="AJ30" s="7"/>
      <c r="AL30" s="7"/>
      <c r="AN30" s="5"/>
      <c r="AO30" s="7"/>
      <c r="AQ30" s="5"/>
      <c r="AR30" s="7"/>
    </row>
    <row r="31" spans="1:44" x14ac:dyDescent="0.2">
      <c r="A31" s="20" t="s">
        <v>16</v>
      </c>
      <c r="D31" s="32"/>
      <c r="E31" s="4"/>
      <c r="H31" s="219"/>
      <c r="J31" s="32">
        <v>0</v>
      </c>
      <c r="M31" s="44"/>
      <c r="N31" s="7"/>
      <c r="P31" s="44"/>
      <c r="Q31" s="7"/>
      <c r="S31" s="44"/>
      <c r="T31" s="7"/>
      <c r="U31" s="7"/>
      <c r="V31" s="44"/>
      <c r="W31" s="7"/>
      <c r="X31" s="7"/>
      <c r="Y31" s="44"/>
      <c r="Z31" s="7"/>
      <c r="AA31" s="7"/>
      <c r="AB31" s="44"/>
      <c r="AC31" s="7"/>
      <c r="AD31" s="7"/>
      <c r="AE31" s="5"/>
      <c r="AF31" s="7"/>
      <c r="AG31" s="7"/>
      <c r="AH31" s="5"/>
      <c r="AI31" s="7"/>
      <c r="AJ31" s="7"/>
      <c r="AL31" s="7"/>
      <c r="AN31" s="5"/>
      <c r="AO31" s="7"/>
      <c r="AQ31" s="5"/>
      <c r="AR31" s="7"/>
    </row>
    <row r="32" spans="1:44" x14ac:dyDescent="0.2">
      <c r="A32" t="s">
        <v>17</v>
      </c>
      <c r="D32" s="32">
        <v>0</v>
      </c>
      <c r="E32" s="8"/>
      <c r="G32" s="44">
        <v>0</v>
      </c>
      <c r="H32" s="8"/>
      <c r="K32" s="8"/>
      <c r="M32" s="44">
        <v>0</v>
      </c>
      <c r="N32" s="8"/>
      <c r="P32" s="44">
        <v>0</v>
      </c>
      <c r="Q32" s="8"/>
      <c r="S32" s="44">
        <v>0</v>
      </c>
      <c r="T32" s="8"/>
      <c r="U32" s="7"/>
      <c r="V32" s="44">
        <v>0</v>
      </c>
      <c r="W32" s="8"/>
      <c r="X32" s="7"/>
      <c r="Y32" s="44">
        <v>0</v>
      </c>
      <c r="Z32" s="8"/>
      <c r="AA32" s="7"/>
      <c r="AB32" s="44">
        <v>0</v>
      </c>
      <c r="AC32" s="8"/>
      <c r="AD32" s="7"/>
      <c r="AE32" s="5">
        <v>0</v>
      </c>
      <c r="AF32" s="8"/>
      <c r="AG32" s="7"/>
      <c r="AH32" s="5">
        <v>7500</v>
      </c>
      <c r="AI32" s="8"/>
      <c r="AJ32" s="7"/>
      <c r="AK32" s="5">
        <v>7500</v>
      </c>
      <c r="AL32" s="8"/>
      <c r="AN32" s="5">
        <v>0</v>
      </c>
      <c r="AO32" s="8"/>
      <c r="AQ32" s="5">
        <v>2458.5500000000002</v>
      </c>
      <c r="AR32" s="8"/>
    </row>
    <row r="33" spans="1:44" ht="13.5" thickBot="1" x14ac:dyDescent="0.25">
      <c r="A33" t="s">
        <v>28</v>
      </c>
      <c r="D33" s="103">
        <f>+E29</f>
        <v>3413.37</v>
      </c>
      <c r="E33" s="8"/>
      <c r="G33" s="85">
        <f>+H29</f>
        <v>-3000</v>
      </c>
      <c r="H33" s="8"/>
      <c r="J33" s="85">
        <v>-4698.17</v>
      </c>
      <c r="K33" s="8"/>
      <c r="M33" s="85">
        <v>-18500</v>
      </c>
      <c r="N33" s="8"/>
      <c r="P33" s="85">
        <f>+Q29</f>
        <v>7000</v>
      </c>
      <c r="Q33" s="8"/>
      <c r="S33" s="85">
        <f>+T29</f>
        <v>-7968.3300000000017</v>
      </c>
      <c r="T33" s="8"/>
      <c r="U33" s="7"/>
      <c r="V33" s="85">
        <v>8414.6200000000026</v>
      </c>
      <c r="W33" s="8"/>
      <c r="X33" s="7"/>
      <c r="Y33" s="85">
        <v>17660.84</v>
      </c>
      <c r="Z33" s="8"/>
      <c r="AA33" s="7"/>
      <c r="AB33" s="85">
        <v>2053.8299999999981</v>
      </c>
      <c r="AC33" s="8"/>
      <c r="AD33" s="7"/>
      <c r="AE33" s="6">
        <v>1570</v>
      </c>
      <c r="AF33" s="8"/>
      <c r="AG33" s="7"/>
      <c r="AH33" s="6">
        <v>0</v>
      </c>
      <c r="AI33" s="8"/>
      <c r="AJ33" s="7"/>
      <c r="AK33" s="6">
        <v>0</v>
      </c>
      <c r="AL33" s="8"/>
      <c r="AN33" s="6">
        <f>+AO29</f>
        <v>0</v>
      </c>
      <c r="AO33" s="8"/>
      <c r="AQ33" s="9">
        <v>0</v>
      </c>
      <c r="AR33" s="8"/>
    </row>
    <row r="34" spans="1:44" ht="19.5" customHeight="1" x14ac:dyDescent="0.2">
      <c r="A34" s="3"/>
      <c r="D34" s="32"/>
      <c r="E34" s="8">
        <f>+D33</f>
        <v>3413.37</v>
      </c>
      <c r="G34" s="86"/>
      <c r="H34" s="8">
        <v>-3000</v>
      </c>
      <c r="J34" s="86"/>
      <c r="K34" s="8">
        <v>-4698.17</v>
      </c>
      <c r="M34" s="86"/>
      <c r="N34" s="8">
        <v>-18500</v>
      </c>
      <c r="P34" s="86"/>
      <c r="Q34" s="8">
        <f>+P32+P33</f>
        <v>7000</v>
      </c>
      <c r="S34" s="86"/>
      <c r="T34" s="8">
        <f>+S32+S33</f>
        <v>-7968.3300000000017</v>
      </c>
      <c r="U34" s="7"/>
      <c r="V34" s="86"/>
      <c r="W34" s="8">
        <v>8414.6200000000026</v>
      </c>
      <c r="X34" s="7"/>
      <c r="Y34" s="86"/>
      <c r="Z34" s="8">
        <f>+Y32+Y33</f>
        <v>17660.84</v>
      </c>
      <c r="AA34" s="7"/>
      <c r="AB34" s="86"/>
      <c r="AC34" s="8">
        <v>2053.8299999999981</v>
      </c>
      <c r="AD34" s="7"/>
      <c r="AE34" s="7"/>
      <c r="AF34" s="8">
        <f>+AE32+AE33</f>
        <v>1570</v>
      </c>
      <c r="AG34" s="7"/>
      <c r="AH34" s="7"/>
      <c r="AI34" s="8">
        <f>+AH32+AH33</f>
        <v>7500</v>
      </c>
      <c r="AJ34" s="7"/>
      <c r="AK34" s="7"/>
      <c r="AL34" s="8">
        <f>+AK32+AK33</f>
        <v>7500</v>
      </c>
      <c r="AN34" s="7"/>
      <c r="AO34" s="8">
        <f>+AN33+AN32</f>
        <v>0</v>
      </c>
      <c r="AQ34" s="7"/>
      <c r="AR34" s="8">
        <v>2458.5500000000002</v>
      </c>
    </row>
    <row r="35" spans="1:44" ht="19.5" customHeight="1" x14ac:dyDescent="0.2">
      <c r="A35" s="3"/>
      <c r="C35" s="47"/>
      <c r="D35" s="47"/>
      <c r="E35" s="8"/>
      <c r="F35" s="47"/>
      <c r="G35" s="86"/>
      <c r="H35" s="8"/>
      <c r="I35" s="47"/>
      <c r="J35" s="86"/>
      <c r="K35" s="8"/>
      <c r="L35" s="47"/>
      <c r="M35" s="86"/>
      <c r="N35" s="8"/>
      <c r="O35" s="47"/>
      <c r="P35" s="86"/>
      <c r="Q35" s="8"/>
      <c r="S35" s="86"/>
      <c r="T35" s="8"/>
      <c r="U35" s="7"/>
      <c r="V35" s="86"/>
      <c r="W35" s="8"/>
      <c r="X35" s="7"/>
      <c r="Y35" s="86"/>
      <c r="Z35" s="8"/>
      <c r="AA35" s="7"/>
      <c r="AB35" s="86"/>
      <c r="AC35" s="8"/>
      <c r="AD35" s="7"/>
      <c r="AE35" s="7"/>
      <c r="AF35" s="8"/>
      <c r="AG35" s="7"/>
      <c r="AH35" s="7"/>
      <c r="AI35" s="8"/>
      <c r="AJ35" s="7"/>
      <c r="AK35" s="7"/>
      <c r="AL35" s="8"/>
      <c r="AN35" s="7"/>
      <c r="AO35" s="8"/>
      <c r="AQ35" s="7"/>
      <c r="AR35" s="8"/>
    </row>
    <row r="36" spans="1:44" ht="19.5" customHeight="1" x14ac:dyDescent="0.2">
      <c r="A36" s="3"/>
      <c r="C36" s="112"/>
      <c r="D36" s="112"/>
      <c r="E36" s="112"/>
      <c r="F36" s="112"/>
      <c r="I36" s="112"/>
      <c r="L36" s="112"/>
      <c r="O36" s="112"/>
      <c r="Q36" s="47"/>
      <c r="U36" s="7"/>
      <c r="X36" s="7"/>
      <c r="AA36" s="7"/>
      <c r="AD36" s="7"/>
      <c r="AG36" s="7"/>
      <c r="AJ36" s="7"/>
      <c r="AK36" s="7"/>
      <c r="AL36" s="7"/>
    </row>
    <row r="37" spans="1:44" x14ac:dyDescent="0.2">
      <c r="A37" s="20" t="s">
        <v>43</v>
      </c>
      <c r="AH37" s="114"/>
    </row>
    <row r="38" spans="1:44" x14ac:dyDescent="0.2">
      <c r="A38" t="s">
        <v>47</v>
      </c>
      <c r="P38" s="95"/>
      <c r="S38" s="95"/>
      <c r="V38" s="95"/>
      <c r="Y38" s="95"/>
      <c r="AB38" s="96"/>
      <c r="AF38" s="113"/>
    </row>
    <row r="39" spans="1:44" x14ac:dyDescent="0.2">
      <c r="A39" s="76"/>
      <c r="B39" s="147" t="s">
        <v>766</v>
      </c>
      <c r="C39" s="76"/>
      <c r="D39" s="76"/>
      <c r="E39" s="76"/>
      <c r="F39" s="76"/>
      <c r="G39" s="87"/>
      <c r="H39" s="88"/>
      <c r="I39" s="76"/>
      <c r="J39" s="87"/>
      <c r="K39" s="88"/>
      <c r="L39" s="76"/>
      <c r="M39" s="87"/>
      <c r="N39" s="88"/>
      <c r="O39" s="76"/>
      <c r="P39" s="87"/>
      <c r="Q39" s="76"/>
      <c r="R39" s="76"/>
      <c r="S39" s="87"/>
      <c r="T39" s="76"/>
      <c r="U39" s="76"/>
      <c r="V39" s="87"/>
      <c r="W39" s="76"/>
      <c r="X39" s="76"/>
      <c r="Y39" s="87"/>
      <c r="Z39" s="76"/>
      <c r="AA39" s="76"/>
      <c r="AB39" s="88"/>
      <c r="AC39" s="76"/>
      <c r="AD39" s="76"/>
      <c r="AE39" s="76"/>
      <c r="AF39" s="113"/>
      <c r="AI39" s="76"/>
      <c r="AJ39" s="76"/>
    </row>
    <row r="40" spans="1:44" x14ac:dyDescent="0.2">
      <c r="A40" s="76"/>
      <c r="C40" s="76"/>
      <c r="D40" s="76"/>
      <c r="E40" s="76"/>
      <c r="F40" s="76"/>
      <c r="G40" s="87"/>
      <c r="H40" s="88"/>
      <c r="I40" s="76"/>
      <c r="J40" s="87"/>
      <c r="K40" s="88"/>
      <c r="L40" s="76"/>
      <c r="M40" s="87"/>
      <c r="N40" s="88"/>
      <c r="O40" s="76"/>
      <c r="P40" s="87"/>
      <c r="Q40" s="76"/>
      <c r="R40" s="76"/>
      <c r="S40" s="87"/>
      <c r="T40" s="76"/>
      <c r="U40" s="76"/>
      <c r="V40" s="87"/>
      <c r="W40" s="76"/>
      <c r="X40" s="76"/>
      <c r="Y40" s="87"/>
      <c r="Z40" s="76"/>
      <c r="AA40" s="76"/>
      <c r="AB40" s="88"/>
      <c r="AC40" s="76"/>
      <c r="AD40" s="76"/>
      <c r="AE40" s="76"/>
      <c r="AF40" s="113"/>
      <c r="AI40" s="76"/>
      <c r="AJ40" s="76"/>
    </row>
    <row r="41" spans="1:44" x14ac:dyDescent="0.2">
      <c r="A41" s="70" t="s">
        <v>414</v>
      </c>
      <c r="B41" s="76"/>
      <c r="C41" s="76"/>
      <c r="D41" s="76"/>
      <c r="E41" s="76"/>
      <c r="F41" s="76"/>
      <c r="G41" s="87"/>
      <c r="H41" s="88"/>
      <c r="I41" s="76"/>
      <c r="J41" s="87"/>
      <c r="K41" s="88"/>
      <c r="L41" s="76"/>
      <c r="M41" s="87"/>
      <c r="N41" s="88"/>
      <c r="O41" s="76"/>
      <c r="P41" s="87"/>
      <c r="Q41" s="76"/>
      <c r="R41" s="76"/>
      <c r="S41" s="87"/>
      <c r="T41" s="76"/>
      <c r="U41" s="76"/>
      <c r="V41" s="87"/>
      <c r="W41" s="76"/>
      <c r="X41" s="76"/>
      <c r="Y41" s="87"/>
      <c r="Z41" s="76"/>
      <c r="AA41" s="76"/>
      <c r="AB41" s="88"/>
      <c r="AC41" s="76"/>
      <c r="AD41" s="76"/>
      <c r="AE41" s="76"/>
      <c r="AF41" s="113"/>
      <c r="AI41" s="76"/>
      <c r="AJ41" s="76"/>
    </row>
    <row r="42" spans="1:44" x14ac:dyDescent="0.2">
      <c r="B42" s="70" t="s">
        <v>107</v>
      </c>
      <c r="C42" s="76"/>
      <c r="D42" s="76"/>
      <c r="E42" s="76"/>
      <c r="F42" s="76"/>
      <c r="G42" s="87"/>
      <c r="H42" s="88"/>
      <c r="I42" s="76"/>
      <c r="J42" s="87"/>
      <c r="K42" s="88"/>
      <c r="L42" s="76"/>
      <c r="M42" s="87"/>
      <c r="N42" s="72"/>
      <c r="O42" s="76"/>
      <c r="P42" s="87"/>
      <c r="Q42" s="76"/>
      <c r="R42" s="76"/>
      <c r="S42" s="87"/>
      <c r="T42" s="76"/>
      <c r="U42" s="76"/>
      <c r="V42" s="87"/>
      <c r="W42" s="76"/>
      <c r="X42" s="76"/>
      <c r="Y42" s="87"/>
      <c r="Z42" s="76"/>
      <c r="AA42" s="76"/>
      <c r="AB42" s="88"/>
      <c r="AC42" s="76"/>
      <c r="AD42" s="76"/>
      <c r="AE42" s="76"/>
      <c r="AF42" s="76"/>
      <c r="AG42" s="76"/>
      <c r="AH42" s="114"/>
      <c r="AI42" s="76"/>
      <c r="AJ42" s="76"/>
    </row>
    <row r="43" spans="1:44" x14ac:dyDescent="0.2">
      <c r="A43" s="76"/>
      <c r="B43" s="101" t="s">
        <v>767</v>
      </c>
      <c r="C43" s="76"/>
      <c r="D43" s="76"/>
      <c r="E43" s="151">
        <f>+'kolommenbalans 2023'!K38</f>
        <v>372.89999999999986</v>
      </c>
      <c r="F43" s="76"/>
      <c r="G43" s="87"/>
      <c r="I43" s="76"/>
      <c r="K43" s="88"/>
      <c r="L43" s="76"/>
      <c r="M43" s="87"/>
      <c r="O43" s="76"/>
      <c r="P43" s="72">
        <f>-'kolommenbalans 2018'!K38</f>
        <v>0</v>
      </c>
      <c r="R43" s="76"/>
      <c r="T43" s="76"/>
      <c r="U43" s="76"/>
      <c r="W43" s="76"/>
      <c r="X43" s="76"/>
      <c r="Y43" s="87"/>
      <c r="Z43" s="76"/>
      <c r="AA43" s="76"/>
      <c r="AB43" s="88"/>
      <c r="AC43" s="76"/>
      <c r="AD43" s="76"/>
      <c r="AE43" s="76"/>
      <c r="AF43" s="76"/>
      <c r="AG43" s="76"/>
      <c r="AH43" s="76"/>
      <c r="AI43" s="76"/>
      <c r="AJ43" s="76"/>
    </row>
    <row r="44" spans="1:44" x14ac:dyDescent="0.2">
      <c r="A44" s="76"/>
      <c r="B44" s="70"/>
      <c r="C44" s="76"/>
      <c r="D44" s="76"/>
      <c r="E44" s="76"/>
      <c r="F44" s="76"/>
      <c r="G44" s="87"/>
      <c r="H44" s="88"/>
      <c r="I44" s="76"/>
      <c r="J44" s="87"/>
      <c r="K44" s="88"/>
      <c r="L44" s="76"/>
      <c r="M44" s="87"/>
      <c r="N44" s="88"/>
      <c r="O44" s="76"/>
      <c r="P44" s="72"/>
      <c r="Q44" s="79"/>
      <c r="R44" s="76"/>
      <c r="S44" s="72"/>
      <c r="T44" s="76"/>
      <c r="U44" s="76"/>
      <c r="W44" s="76"/>
      <c r="X44" s="76"/>
      <c r="Y44" s="87"/>
      <c r="Z44" s="76"/>
      <c r="AA44" s="76"/>
      <c r="AB44" s="88"/>
      <c r="AC44" s="76"/>
      <c r="AD44" s="76"/>
      <c r="AE44" s="76"/>
      <c r="AF44" s="76"/>
      <c r="AG44" s="76"/>
      <c r="AH44" s="76"/>
      <c r="AI44" s="76"/>
      <c r="AJ44" s="76"/>
    </row>
    <row r="45" spans="1:44" x14ac:dyDescent="0.2">
      <c r="A45" s="70" t="s">
        <v>46</v>
      </c>
      <c r="B45" s="76"/>
      <c r="C45" s="76"/>
      <c r="D45" s="76"/>
      <c r="E45" s="76"/>
      <c r="F45" s="76"/>
      <c r="G45" s="87"/>
      <c r="H45" s="88"/>
      <c r="I45" s="76"/>
      <c r="J45" s="87"/>
      <c r="K45" s="88"/>
      <c r="L45" s="76"/>
      <c r="M45" s="87"/>
      <c r="N45" s="88"/>
      <c r="O45" s="76"/>
      <c r="P45" s="87"/>
      <c r="Q45" s="76"/>
      <c r="R45" s="76"/>
      <c r="S45" s="87"/>
      <c r="T45" s="76"/>
      <c r="U45" s="76"/>
      <c r="V45" s="87"/>
      <c r="W45" s="76"/>
      <c r="X45" s="76"/>
      <c r="Y45" s="87"/>
      <c r="Z45" s="76"/>
      <c r="AA45" s="76"/>
      <c r="AB45" s="88"/>
      <c r="AC45" s="76"/>
      <c r="AD45" s="76"/>
      <c r="AE45" s="76"/>
      <c r="AF45" s="76"/>
      <c r="AG45" s="76"/>
      <c r="AH45" s="76"/>
      <c r="AI45" s="76"/>
      <c r="AJ45" s="76"/>
    </row>
    <row r="46" spans="1:44" ht="26.25" customHeight="1" x14ac:dyDescent="0.2">
      <c r="B46" s="237" t="s">
        <v>768</v>
      </c>
      <c r="C46" s="238"/>
      <c r="D46" s="238"/>
      <c r="E46" s="238"/>
      <c r="F46" s="238"/>
      <c r="G46" s="238"/>
      <c r="H46" s="238"/>
      <c r="I46" s="238"/>
      <c r="J46" s="238"/>
      <c r="K46" s="238"/>
      <c r="L46" s="238"/>
      <c r="M46" s="238"/>
      <c r="N46" s="238"/>
      <c r="O46" s="238"/>
      <c r="P46" s="238"/>
      <c r="Q46" s="238"/>
      <c r="R46" s="98"/>
      <c r="S46" s="98"/>
      <c r="T46" s="98"/>
      <c r="U46" s="98"/>
      <c r="V46" s="98"/>
      <c r="W46" s="98"/>
      <c r="X46" s="76"/>
      <c r="Y46" s="87"/>
      <c r="Z46" s="76"/>
      <c r="AA46" s="76"/>
      <c r="AB46" s="88"/>
      <c r="AC46" s="76"/>
      <c r="AD46" s="76"/>
      <c r="AE46" s="76"/>
      <c r="AF46" s="76"/>
      <c r="AG46" s="76"/>
      <c r="AH46" s="76"/>
      <c r="AI46" s="76"/>
      <c r="AJ46" s="76"/>
      <c r="AN46" s="5"/>
      <c r="AO46" s="44"/>
      <c r="AQ46" s="5"/>
      <c r="AR46" s="44"/>
    </row>
    <row r="48" spans="1:44" x14ac:dyDescent="0.2">
      <c r="A48" s="147" t="s">
        <v>746</v>
      </c>
    </row>
    <row r="49" spans="1:17" x14ac:dyDescent="0.2">
      <c r="A49" s="147"/>
      <c r="C49" s="148" t="s">
        <v>769</v>
      </c>
      <c r="D49" s="29"/>
      <c r="E49" s="4">
        <f>'kolommenbalans 2023'!E5</f>
        <v>638</v>
      </c>
      <c r="F49" s="29"/>
    </row>
    <row r="50" spans="1:17" x14ac:dyDescent="0.2">
      <c r="C50" s="148" t="s">
        <v>770</v>
      </c>
      <c r="D50" s="148"/>
      <c r="E50" s="164">
        <v>3400</v>
      </c>
      <c r="F50" s="148"/>
      <c r="G50" s="162"/>
      <c r="I50" s="148"/>
      <c r="K50" s="206"/>
      <c r="L50" s="148"/>
    </row>
    <row r="51" spans="1:17" x14ac:dyDescent="0.2">
      <c r="C51" s="148" t="s">
        <v>771</v>
      </c>
      <c r="D51" s="148"/>
      <c r="E51" s="4">
        <f>+E50+E49</f>
        <v>4038</v>
      </c>
      <c r="F51" s="148"/>
      <c r="G51" s="146"/>
      <c r="I51" s="148"/>
      <c r="K51" s="208"/>
      <c r="L51" s="147"/>
      <c r="Q51" s="47"/>
    </row>
    <row r="52" spans="1:17" x14ac:dyDescent="0.2">
      <c r="E52" s="4"/>
    </row>
    <row r="53" spans="1:17" x14ac:dyDescent="0.2">
      <c r="A53" s="147" t="s">
        <v>772</v>
      </c>
      <c r="E53" s="4"/>
    </row>
    <row r="54" spans="1:17" x14ac:dyDescent="0.2">
      <c r="C54" s="148" t="s">
        <v>750</v>
      </c>
      <c r="D54" s="148"/>
      <c r="E54" s="4"/>
      <c r="F54" s="148"/>
    </row>
    <row r="55" spans="1:17" x14ac:dyDescent="0.2">
      <c r="C55" s="148" t="s">
        <v>751</v>
      </c>
      <c r="D55" s="148"/>
      <c r="E55" s="4">
        <v>3600</v>
      </c>
      <c r="F55" s="148"/>
    </row>
    <row r="56" spans="1:17" x14ac:dyDescent="0.2">
      <c r="E56" s="4"/>
    </row>
  </sheetData>
  <mergeCells count="29">
    <mergeCell ref="B46:Q46"/>
    <mergeCell ref="AB4:AC4"/>
    <mergeCell ref="AE4:AF4"/>
    <mergeCell ref="AH4:AI4"/>
    <mergeCell ref="AK4:AL4"/>
    <mergeCell ref="AN4:AO4"/>
    <mergeCell ref="AQ4:AR4"/>
    <mergeCell ref="AN3:AO3"/>
    <mergeCell ref="AQ3:AR3"/>
    <mergeCell ref="D4:E4"/>
    <mergeCell ref="G4:H4"/>
    <mergeCell ref="J4:K4"/>
    <mergeCell ref="M4:N4"/>
    <mergeCell ref="P4:Q4"/>
    <mergeCell ref="S4:T4"/>
    <mergeCell ref="V4:W4"/>
    <mergeCell ref="Y4:Z4"/>
    <mergeCell ref="V3:W3"/>
    <mergeCell ref="Y3:Z3"/>
    <mergeCell ref="AB3:AC3"/>
    <mergeCell ref="AE3:AF3"/>
    <mergeCell ref="AH3:AI3"/>
    <mergeCell ref="AK3:AL3"/>
    <mergeCell ref="D3:E3"/>
    <mergeCell ref="G3:H3"/>
    <mergeCell ref="J3:K3"/>
    <mergeCell ref="M3:N3"/>
    <mergeCell ref="P3:Q3"/>
    <mergeCell ref="S3:T3"/>
  </mergeCells>
  <pageMargins left="0.74803149606299213" right="0.74803149606299213" top="0.98425196850393704" bottom="0.78740157480314965" header="0.51181102362204722" footer="0.51181102362204722"/>
  <pageSetup paperSize="9" scale="59" orientation="portrait" r:id="rId1"/>
  <headerFooter alignWithMargins="0">
    <oddFooter>&amp;L&amp;F,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8785-3634-40D3-8F8A-69AA5E0670AE}">
  <sheetPr>
    <pageSetUpPr fitToPage="1"/>
  </sheetPr>
  <dimension ref="A1:AX31"/>
  <sheetViews>
    <sheetView zoomScale="136" zoomScaleNormal="136" workbookViewId="0">
      <selection activeCell="E27" sqref="E27"/>
    </sheetView>
  </sheetViews>
  <sheetFormatPr defaultColWidth="8.85546875" defaultRowHeight="12.75" x14ac:dyDescent="0.2"/>
  <cols>
    <col min="1" max="1" width="6.42578125" customWidth="1"/>
    <col min="3" max="3" width="40.28515625" customWidth="1"/>
    <col min="4" max="5" width="9.140625" customWidth="1"/>
    <col min="6" max="6" width="2.42578125" customWidth="1"/>
    <col min="7" max="7" width="9.28515625" style="4" customWidth="1"/>
    <col min="8" max="8" width="9.28515625" style="201" customWidth="1"/>
    <col min="9" max="9" width="2.42578125" customWidth="1"/>
    <col min="10" max="10" width="9.28515625" style="4" customWidth="1"/>
    <col min="11" max="11" width="10" style="201" customWidth="1"/>
    <col min="12" max="12" width="2.42578125" customWidth="1"/>
    <col min="13" max="13" width="8.28515625" style="4" bestFit="1" customWidth="1"/>
    <col min="14" max="14" width="10" style="201" customWidth="1"/>
    <col min="15" max="15" width="2.42578125" customWidth="1"/>
    <col min="16" max="16" width="9.140625" style="4" customWidth="1"/>
    <col min="17" max="17" width="11" style="195" bestFit="1" customWidth="1"/>
    <col min="18" max="18" width="2.42578125" customWidth="1"/>
    <col min="19" max="19" width="9.140625" style="4" customWidth="1"/>
    <col min="20" max="20" width="11.42578125" style="195" bestFit="1" customWidth="1"/>
    <col min="21" max="21" width="2.42578125" customWidth="1"/>
    <col min="22" max="22" width="9.140625" style="4" customWidth="1"/>
    <col min="23" max="23" width="11.42578125" customWidth="1"/>
    <col min="24" max="24" width="2.42578125" customWidth="1"/>
    <col min="25" max="25" width="9.140625" style="4" customWidth="1"/>
    <col min="27" max="27" width="2.42578125" customWidth="1"/>
    <col min="28" max="28" width="9.140625" style="4" customWidth="1"/>
    <col min="30" max="30" width="2.42578125" customWidth="1"/>
    <col min="31" max="31" width="9.140625" style="4" customWidth="1"/>
    <col min="33" max="33" width="2.42578125" customWidth="1"/>
    <col min="34" max="34" width="9.140625" style="4" customWidth="1"/>
    <col min="36" max="36" width="2.42578125" customWidth="1"/>
    <col min="37" max="37" width="9.140625" style="4" customWidth="1"/>
    <col min="39" max="39" width="2.42578125" customWidth="1"/>
    <col min="40" max="40" width="9.140625" style="4" customWidth="1"/>
    <col min="42" max="42" width="2.42578125" customWidth="1"/>
    <col min="45" max="45" width="2.42578125" customWidth="1"/>
  </cols>
  <sheetData>
    <row r="1" spans="1:47" ht="20.25" x14ac:dyDescent="0.3">
      <c r="A1" s="10" t="s">
        <v>69</v>
      </c>
    </row>
    <row r="3" spans="1:47" s="109" customFormat="1" x14ac:dyDescent="0.2">
      <c r="D3" s="245">
        <v>45291</v>
      </c>
      <c r="E3" s="246"/>
      <c r="G3" s="239">
        <v>44926</v>
      </c>
      <c r="H3" s="240"/>
      <c r="J3" s="239">
        <v>44561</v>
      </c>
      <c r="K3" s="240"/>
      <c r="M3" s="239">
        <v>44196</v>
      </c>
      <c r="N3" s="240"/>
      <c r="P3" s="239">
        <v>43830</v>
      </c>
      <c r="Q3" s="240"/>
      <c r="S3" s="239">
        <v>43465</v>
      </c>
      <c r="T3" s="240"/>
      <c r="V3" s="239">
        <v>43100</v>
      </c>
      <c r="W3" s="240"/>
      <c r="Y3" s="247">
        <v>42735</v>
      </c>
      <c r="Z3" s="247"/>
      <c r="AB3" s="247">
        <v>42369</v>
      </c>
      <c r="AC3" s="247"/>
      <c r="AE3" s="247">
        <v>42004</v>
      </c>
      <c r="AF3" s="247"/>
      <c r="AH3" s="247">
        <v>41639</v>
      </c>
      <c r="AI3" s="247"/>
      <c r="AK3" s="247">
        <v>41274</v>
      </c>
      <c r="AL3" s="247"/>
      <c r="AN3" s="247">
        <v>40908</v>
      </c>
      <c r="AO3" s="247"/>
      <c r="AQ3" s="247">
        <v>40543</v>
      </c>
      <c r="AR3" s="247"/>
      <c r="AS3" s="110"/>
      <c r="AT3" s="247">
        <v>40178</v>
      </c>
      <c r="AU3" s="247"/>
    </row>
    <row r="4" spans="1:47" x14ac:dyDescent="0.2">
      <c r="D4" s="243" t="s">
        <v>73</v>
      </c>
      <c r="E4" s="244"/>
      <c r="G4" s="243" t="s">
        <v>73</v>
      </c>
      <c r="H4" s="244"/>
      <c r="J4" s="243" t="s">
        <v>73</v>
      </c>
      <c r="K4" s="244"/>
      <c r="M4" s="243" t="s">
        <v>73</v>
      </c>
      <c r="N4" s="244"/>
      <c r="P4" s="243" t="s">
        <v>73</v>
      </c>
      <c r="Q4" s="244"/>
      <c r="S4" s="243" t="s">
        <v>73</v>
      </c>
      <c r="T4" s="244"/>
      <c r="V4" s="243" t="s">
        <v>73</v>
      </c>
      <c r="W4" s="244"/>
      <c r="Y4" s="248" t="s">
        <v>73</v>
      </c>
      <c r="Z4" s="248"/>
      <c r="AB4" s="248" t="s">
        <v>73</v>
      </c>
      <c r="AC4" s="248"/>
      <c r="AE4" s="248" t="s">
        <v>73</v>
      </c>
      <c r="AF4" s="248"/>
      <c r="AH4" s="248" t="s">
        <v>73</v>
      </c>
      <c r="AI4" s="248"/>
      <c r="AK4" s="248" t="s">
        <v>73</v>
      </c>
      <c r="AL4" s="248"/>
      <c r="AN4" s="248" t="s">
        <v>73</v>
      </c>
      <c r="AO4" s="248"/>
      <c r="AQ4" s="248" t="s">
        <v>73</v>
      </c>
      <c r="AR4" s="248"/>
      <c r="AS4" s="35"/>
      <c r="AT4" s="248" t="s">
        <v>73</v>
      </c>
      <c r="AU4" s="248"/>
    </row>
    <row r="5" spans="1:47" ht="15.75" x14ac:dyDescent="0.25">
      <c r="A5" s="2" t="s">
        <v>21</v>
      </c>
      <c r="E5" s="196"/>
      <c r="H5" s="196"/>
      <c r="K5" s="196"/>
      <c r="N5" s="196"/>
      <c r="Q5" s="196"/>
      <c r="T5" s="196"/>
      <c r="W5" s="173"/>
      <c r="Z5" s="173"/>
      <c r="AC5" s="8"/>
      <c r="AF5" s="8"/>
      <c r="AI5" s="8"/>
      <c r="AL5" s="8"/>
      <c r="AO5" s="8"/>
      <c r="AQ5" s="5"/>
      <c r="AR5" s="8"/>
      <c r="AS5" s="7"/>
      <c r="AT5" s="5"/>
      <c r="AU5" s="8"/>
    </row>
    <row r="6" spans="1:47" s="12" customFormat="1" ht="19.5" customHeight="1" x14ac:dyDescent="0.2">
      <c r="A6" s="11" t="s">
        <v>23</v>
      </c>
      <c r="E6" s="197"/>
      <c r="G6" s="68"/>
      <c r="H6" s="197"/>
      <c r="J6" s="68"/>
      <c r="K6" s="197"/>
      <c r="M6" s="68"/>
      <c r="N6" s="197"/>
      <c r="P6" s="68"/>
      <c r="Q6" s="197"/>
      <c r="S6" s="68"/>
      <c r="T6" s="197"/>
      <c r="V6" s="68"/>
      <c r="W6" s="188"/>
      <c r="Y6" s="68"/>
      <c r="Z6" s="188"/>
      <c r="AB6" s="68"/>
      <c r="AC6" s="14"/>
      <c r="AE6" s="68"/>
      <c r="AF6" s="14"/>
      <c r="AH6" s="68"/>
      <c r="AI6" s="14"/>
      <c r="AK6" s="68"/>
      <c r="AL6" s="14"/>
      <c r="AN6" s="68"/>
      <c r="AO6" s="14"/>
      <c r="AQ6" s="13"/>
      <c r="AR6" s="14"/>
      <c r="AS6" s="36"/>
      <c r="AT6" s="13"/>
      <c r="AU6" s="14"/>
    </row>
    <row r="7" spans="1:47" x14ac:dyDescent="0.2">
      <c r="A7" t="s">
        <v>25</v>
      </c>
      <c r="E7" s="202">
        <v>0</v>
      </c>
      <c r="H7" s="202">
        <v>0</v>
      </c>
      <c r="K7" s="202">
        <v>0</v>
      </c>
      <c r="N7" s="202">
        <v>0</v>
      </c>
      <c r="Q7" s="196">
        <v>0</v>
      </c>
      <c r="T7" s="196">
        <v>0</v>
      </c>
      <c r="W7" s="173">
        <v>0</v>
      </c>
      <c r="Z7" s="173">
        <v>0</v>
      </c>
      <c r="AC7" s="8">
        <v>0</v>
      </c>
      <c r="AF7" s="8">
        <v>0</v>
      </c>
      <c r="AI7" s="8">
        <v>0</v>
      </c>
      <c r="AL7" s="8">
        <v>0</v>
      </c>
      <c r="AO7" s="8">
        <v>0</v>
      </c>
      <c r="AQ7" s="5"/>
      <c r="AR7" s="8">
        <v>0</v>
      </c>
      <c r="AS7" s="7"/>
      <c r="AT7" s="5"/>
      <c r="AU7" s="8">
        <v>0</v>
      </c>
    </row>
    <row r="8" spans="1:47" x14ac:dyDescent="0.2">
      <c r="E8" s="196"/>
      <c r="H8" s="196"/>
      <c r="K8" s="196"/>
      <c r="N8" s="196"/>
      <c r="Q8" s="196"/>
      <c r="T8" s="196"/>
      <c r="W8" s="173"/>
      <c r="Z8" s="173"/>
      <c r="AC8" s="8"/>
      <c r="AF8" s="8"/>
      <c r="AI8" s="8"/>
      <c r="AL8" s="8"/>
      <c r="AO8" s="8"/>
      <c r="AQ8" s="5"/>
      <c r="AR8" s="8"/>
      <c r="AS8" s="7"/>
      <c r="AT8" s="5"/>
      <c r="AU8" s="8"/>
    </row>
    <row r="9" spans="1:47" s="12" customFormat="1" ht="19.5" customHeight="1" x14ac:dyDescent="0.2">
      <c r="A9" s="11" t="s">
        <v>24</v>
      </c>
      <c r="E9" s="197"/>
      <c r="G9" s="68"/>
      <c r="H9" s="197"/>
      <c r="J9" s="68"/>
      <c r="K9" s="197"/>
      <c r="M9" s="68"/>
      <c r="N9" s="197"/>
      <c r="P9" s="68"/>
      <c r="Q9" s="197"/>
      <c r="S9" s="68"/>
      <c r="T9" s="197"/>
      <c r="V9" s="68"/>
      <c r="W9" s="188"/>
      <c r="Y9" s="68"/>
      <c r="Z9" s="188"/>
      <c r="AB9" s="68"/>
      <c r="AC9" s="14"/>
      <c r="AE9" s="68"/>
      <c r="AF9" s="14"/>
      <c r="AH9" s="68"/>
      <c r="AI9" s="14"/>
      <c r="AK9" s="68"/>
      <c r="AL9" s="14"/>
      <c r="AN9" s="68"/>
      <c r="AO9" s="14"/>
      <c r="AQ9" s="13"/>
      <c r="AR9" s="14"/>
      <c r="AS9" s="36"/>
      <c r="AT9" s="13"/>
      <c r="AU9" s="14"/>
    </row>
    <row r="10" spans="1:47" x14ac:dyDescent="0.2">
      <c r="A10" t="s">
        <v>26</v>
      </c>
      <c r="D10" s="224">
        <f>+'kolommenbalans 2023'!D45</f>
        <v>168.52999999999994</v>
      </c>
      <c r="E10" s="196"/>
      <c r="G10" s="193">
        <v>-204.36999999999992</v>
      </c>
      <c r="H10" s="196"/>
      <c r="J10" s="193">
        <v>-305.83999999999992</v>
      </c>
      <c r="K10" s="196"/>
      <c r="M10" s="4">
        <v>-473.83999999999992</v>
      </c>
      <c r="N10" s="196"/>
      <c r="P10" s="4">
        <v>-164.07999999999993</v>
      </c>
      <c r="Q10" s="198"/>
      <c r="S10" s="4">
        <f>+'kolommenbalans 2018'!D46</f>
        <v>199.92000000000002</v>
      </c>
      <c r="T10" s="198"/>
      <c r="V10" s="4">
        <v>1894.85</v>
      </c>
      <c r="W10" s="189"/>
      <c r="Y10" s="4">
        <f>+'balans 2016'!D10</f>
        <v>167.54</v>
      </c>
      <c r="Z10" s="189"/>
      <c r="AB10" s="4">
        <f>+'balans 2015'!D10</f>
        <v>163.28</v>
      </c>
      <c r="AC10" s="15"/>
      <c r="AE10" s="4">
        <f>+'kolommenbalans 2014'!E29</f>
        <v>112.35</v>
      </c>
      <c r="AF10" s="15"/>
      <c r="AH10" s="4">
        <v>99.669999999999987</v>
      </c>
      <c r="AI10" s="15"/>
      <c r="AK10" s="4">
        <v>62.07</v>
      </c>
      <c r="AL10" s="15"/>
      <c r="AN10" s="4">
        <v>69.2</v>
      </c>
      <c r="AO10" s="15"/>
      <c r="AQ10" s="5">
        <v>0</v>
      </c>
      <c r="AR10" s="15"/>
      <c r="AS10" s="26"/>
      <c r="AT10" s="5">
        <v>0</v>
      </c>
      <c r="AU10" s="15"/>
    </row>
    <row r="11" spans="1:47" ht="13.5" thickBot="1" x14ac:dyDescent="0.25">
      <c r="A11" s="70" t="s">
        <v>427</v>
      </c>
      <c r="D11" s="225">
        <f>+'kolommenbalans 2023'!B38+'kolommenbalans 2023'!C38</f>
        <v>7483.1899999999905</v>
      </c>
      <c r="E11" s="196"/>
      <c r="G11" s="9">
        <v>10142.719999999992</v>
      </c>
      <c r="H11" s="196"/>
      <c r="J11" s="9">
        <v>10164.009999999993</v>
      </c>
      <c r="K11" s="196"/>
      <c r="M11" s="9">
        <v>7132.0099999999929</v>
      </c>
      <c r="N11" s="196"/>
      <c r="P11" s="164">
        <v>18260.939999999991</v>
      </c>
      <c r="Q11" s="196"/>
      <c r="S11" s="9">
        <f>+'kolommenbalans 2018'!B46+'kolommenbalans 2018'!C46</f>
        <v>22356.939999999991</v>
      </c>
      <c r="T11" s="196"/>
      <c r="V11" s="9">
        <v>21340.339999999997</v>
      </c>
      <c r="W11" s="173"/>
      <c r="Y11" s="9">
        <f>+'balans 2016'!D11</f>
        <v>19843.679999999993</v>
      </c>
      <c r="Z11" s="173"/>
      <c r="AB11" s="4">
        <f>+'balans 2015'!D11</f>
        <v>21437.119999999995</v>
      </c>
      <c r="AC11" s="8"/>
      <c r="AE11" s="9">
        <f>+'kolommenbalans 2014'!C29+'kolommenbalans 2014'!D29</f>
        <v>18681.909999999996</v>
      </c>
      <c r="AF11" s="8"/>
      <c r="AH11" s="9">
        <v>18624.18</v>
      </c>
      <c r="AI11" s="8"/>
      <c r="AK11" s="9">
        <v>11168.810000000001</v>
      </c>
      <c r="AL11" s="8"/>
      <c r="AN11" s="9">
        <v>10533.65</v>
      </c>
      <c r="AO11" s="8"/>
      <c r="AQ11" s="6">
        <v>6086.88</v>
      </c>
      <c r="AR11" s="8"/>
      <c r="AS11" s="7"/>
      <c r="AT11" s="6">
        <v>635.5</v>
      </c>
      <c r="AU11" s="8"/>
    </row>
    <row r="12" spans="1:47" ht="13.5" thickBot="1" x14ac:dyDescent="0.25">
      <c r="E12" s="194"/>
      <c r="H12" s="194">
        <v>9938.3499999999913</v>
      </c>
      <c r="K12" s="194">
        <v>9858.1699999999928</v>
      </c>
      <c r="N12" s="194">
        <v>6658.1699999999928</v>
      </c>
      <c r="Q12" s="194">
        <v>18096.859999999993</v>
      </c>
      <c r="T12" s="194">
        <f>+S11+S10</f>
        <v>22556.85999999999</v>
      </c>
      <c r="W12" s="194">
        <v>23235.189999999995</v>
      </c>
      <c r="Z12" s="190">
        <f>+Y11+Y10</f>
        <v>20011.219999999994</v>
      </c>
      <c r="AC12" s="16">
        <f>+AB11+AB10</f>
        <v>21600.399999999994</v>
      </c>
      <c r="AF12" s="16">
        <f>+AE11+AE10</f>
        <v>18794.259999999995</v>
      </c>
      <c r="AI12" s="16">
        <v>18723.849999999999</v>
      </c>
      <c r="AL12" s="16">
        <v>11230.880000000001</v>
      </c>
      <c r="AO12" s="16">
        <v>10602.85</v>
      </c>
      <c r="AQ12" s="5"/>
      <c r="AR12" s="16">
        <v>6086.88</v>
      </c>
      <c r="AS12" s="7"/>
      <c r="AT12" s="5"/>
      <c r="AU12" s="16">
        <v>635.5</v>
      </c>
    </row>
    <row r="13" spans="1:47" s="20" customFormat="1" ht="19.5" customHeight="1" x14ac:dyDescent="0.2">
      <c r="A13" s="1"/>
      <c r="C13" s="107" t="s">
        <v>739</v>
      </c>
      <c r="D13" s="107"/>
      <c r="E13" s="203">
        <f>+D11+D10</f>
        <v>7651.7199999999903</v>
      </c>
      <c r="F13" s="107"/>
      <c r="G13" s="165"/>
      <c r="H13" s="203">
        <v>9938.3499999999913</v>
      </c>
      <c r="I13" s="107"/>
      <c r="J13" s="165"/>
      <c r="K13" s="203">
        <v>9858.1699999999928</v>
      </c>
      <c r="L13" s="107"/>
      <c r="M13" s="165"/>
      <c r="N13" s="203">
        <v>6658.1699999999928</v>
      </c>
      <c r="O13" s="107"/>
      <c r="P13" s="165"/>
      <c r="Q13" s="199">
        <v>18096.859999999993</v>
      </c>
      <c r="R13" s="107"/>
      <c r="S13" s="165"/>
      <c r="T13" s="196">
        <f>+T12+T7</f>
        <v>22556.85999999999</v>
      </c>
      <c r="U13" s="107"/>
      <c r="V13" s="165"/>
      <c r="W13" s="191">
        <v>23235.19</v>
      </c>
      <c r="X13" s="107"/>
      <c r="Y13" s="165"/>
      <c r="Z13" s="191">
        <f>+Z12+Z7</f>
        <v>20011.219999999994</v>
      </c>
      <c r="AA13" s="107"/>
      <c r="AB13" s="165"/>
      <c r="AC13" s="18">
        <f>+AC12+AC7</f>
        <v>21600.399999999994</v>
      </c>
      <c r="AD13" s="107"/>
      <c r="AE13" s="165"/>
      <c r="AF13" s="18">
        <f>+AF12+AF7</f>
        <v>18794.259999999995</v>
      </c>
      <c r="AG13" s="107"/>
      <c r="AH13" s="165"/>
      <c r="AI13" s="18">
        <v>18723.849999999999</v>
      </c>
      <c r="AJ13" s="107"/>
      <c r="AK13" s="165"/>
      <c r="AL13" s="18">
        <v>11230.880000000001</v>
      </c>
      <c r="AM13" s="107"/>
      <c r="AN13" s="165"/>
      <c r="AO13" s="18">
        <v>10602.85</v>
      </c>
      <c r="AP13" s="107"/>
      <c r="AQ13" s="37"/>
      <c r="AR13" s="18">
        <v>6086.88</v>
      </c>
      <c r="AS13" s="37"/>
      <c r="AT13" s="37"/>
      <c r="AU13" s="18">
        <v>635.5</v>
      </c>
    </row>
    <row r="14" spans="1:47" x14ac:dyDescent="0.2">
      <c r="E14" s="196"/>
      <c r="H14" s="196"/>
      <c r="K14" s="196"/>
      <c r="N14" s="196"/>
      <c r="Q14" s="196"/>
      <c r="T14" s="196"/>
      <c r="W14" s="173"/>
      <c r="Z14" s="173"/>
      <c r="AC14" s="8"/>
      <c r="AF14" s="8"/>
      <c r="AI14" s="8"/>
      <c r="AL14" s="8"/>
      <c r="AO14" s="8"/>
      <c r="AQ14" s="5"/>
      <c r="AR14" s="8"/>
      <c r="AS14" s="7"/>
      <c r="AT14" s="5"/>
      <c r="AU14" s="8"/>
    </row>
    <row r="15" spans="1:47" ht="15.75" x14ac:dyDescent="0.25">
      <c r="A15" s="2" t="s">
        <v>22</v>
      </c>
      <c r="E15" s="196"/>
      <c r="H15" s="196"/>
      <c r="K15" s="196"/>
      <c r="N15" s="196"/>
      <c r="Q15" s="196"/>
      <c r="T15" s="196"/>
      <c r="W15" s="173"/>
      <c r="Z15" s="173"/>
      <c r="AC15" s="8"/>
      <c r="AF15" s="8"/>
      <c r="AI15" s="8"/>
      <c r="AL15" s="8"/>
      <c r="AO15" s="8"/>
      <c r="AQ15" s="5"/>
      <c r="AR15" s="8"/>
      <c r="AS15" s="7"/>
      <c r="AT15" s="5"/>
      <c r="AU15" s="8"/>
    </row>
    <row r="16" spans="1:47" ht="19.5" customHeight="1" x14ac:dyDescent="0.2">
      <c r="A16" s="11" t="s">
        <v>29</v>
      </c>
      <c r="E16" s="196"/>
      <c r="H16" s="196"/>
      <c r="K16" s="196"/>
      <c r="N16" s="196"/>
      <c r="Q16" s="196"/>
      <c r="T16" s="196"/>
      <c r="W16" s="173"/>
      <c r="Z16" s="173"/>
      <c r="AC16" s="8"/>
      <c r="AF16" s="8"/>
      <c r="AI16" s="8"/>
      <c r="AL16" s="8"/>
      <c r="AO16" s="8"/>
      <c r="AQ16" s="5"/>
      <c r="AR16" s="8"/>
      <c r="AS16" s="7"/>
      <c r="AT16" s="5"/>
      <c r="AU16" s="8"/>
    </row>
    <row r="17" spans="1:50" x14ac:dyDescent="0.2">
      <c r="A17" t="s">
        <v>28</v>
      </c>
      <c r="D17" s="226">
        <f>+G17+'winst en verlies 2023'!D33+1</f>
        <v>4052.37</v>
      </c>
      <c r="E17" s="196"/>
      <c r="G17" s="219">
        <v>638</v>
      </c>
      <c r="H17" s="196"/>
      <c r="J17" s="193">
        <v>4698.17</v>
      </c>
      <c r="K17" s="196"/>
      <c r="M17" s="4">
        <v>-2801.8299999999981</v>
      </c>
      <c r="N17" s="196"/>
      <c r="P17" s="5">
        <v>15676.860000000002</v>
      </c>
      <c r="Q17" s="196"/>
      <c r="S17" s="5">
        <f>-'kolommenbalans 2018'!G46</f>
        <v>4676.8600000000024</v>
      </c>
      <c r="T17" s="196"/>
      <c r="V17" s="5">
        <v>12645.189999999995</v>
      </c>
      <c r="W17" s="173"/>
      <c r="Y17" s="5">
        <f>+'balans 2016'!D17</f>
        <v>4230.5700000000015</v>
      </c>
      <c r="Z17" s="173"/>
      <c r="AB17" s="5">
        <f>-'balans 2015'!D17</f>
        <v>14848.090000000002</v>
      </c>
      <c r="AC17" s="8"/>
      <c r="AE17" s="5">
        <f>-'kolommenbalans 2014'!F29</f>
        <v>12794.26</v>
      </c>
      <c r="AF17" s="8"/>
      <c r="AH17" s="5">
        <v>11223.85</v>
      </c>
      <c r="AI17" s="8"/>
      <c r="AK17" s="5">
        <v>635.5</v>
      </c>
      <c r="AL17" s="8"/>
      <c r="AN17" s="5">
        <v>635.5</v>
      </c>
      <c r="AO17" s="8"/>
      <c r="AQ17" s="5">
        <v>635.5</v>
      </c>
      <c r="AR17" s="8"/>
      <c r="AS17" s="7"/>
      <c r="AT17" s="5">
        <v>635.5</v>
      </c>
      <c r="AU17" s="8"/>
    </row>
    <row r="18" spans="1:50" ht="13.5" thickBot="1" x14ac:dyDescent="0.25">
      <c r="A18" s="70" t="s">
        <v>428</v>
      </c>
      <c r="D18" s="224">
        <f>-'kolommenbalans 2023'!F48</f>
        <v>3600</v>
      </c>
      <c r="E18" s="196"/>
      <c r="G18" s="223">
        <v>9300</v>
      </c>
      <c r="H18" s="196"/>
      <c r="J18" s="9">
        <v>5160</v>
      </c>
      <c r="K18" s="196"/>
      <c r="M18" s="9">
        <v>9460</v>
      </c>
      <c r="N18" s="196"/>
      <c r="P18" s="6">
        <v>2420</v>
      </c>
      <c r="Q18" s="196"/>
      <c r="S18" s="5">
        <f>-'kolommenbalans 2018'!H46</f>
        <v>17880</v>
      </c>
      <c r="T18" s="196"/>
      <c r="V18" s="5">
        <v>10590</v>
      </c>
      <c r="W18" s="173"/>
      <c r="Y18" s="5">
        <f>+'balans 2016'!D18</f>
        <v>15780.65</v>
      </c>
      <c r="Z18" s="173"/>
      <c r="AB18" s="5">
        <f>-'balans 2015'!D18</f>
        <v>6752.3099999999995</v>
      </c>
      <c r="AC18" s="8"/>
      <c r="AE18" s="5">
        <f>-'kolommenbalans 2014'!G29</f>
        <v>6000</v>
      </c>
      <c r="AF18" s="8"/>
      <c r="AH18" s="5">
        <v>7500</v>
      </c>
      <c r="AI18" s="8"/>
      <c r="AK18" s="5">
        <v>1460</v>
      </c>
      <c r="AL18" s="8"/>
      <c r="AN18" s="5">
        <v>3130</v>
      </c>
      <c r="AO18" s="8"/>
      <c r="AQ18" s="5">
        <v>0</v>
      </c>
      <c r="AR18" s="8"/>
      <c r="AS18" s="7"/>
      <c r="AT18" s="5">
        <v>0</v>
      </c>
      <c r="AU18" s="8"/>
    </row>
    <row r="19" spans="1:50" ht="13.5" hidden="1" thickBot="1" x14ac:dyDescent="0.25">
      <c r="A19" t="s">
        <v>17</v>
      </c>
      <c r="E19" s="196"/>
      <c r="G19" s="9"/>
      <c r="H19" s="196"/>
      <c r="J19" s="9"/>
      <c r="K19" s="196"/>
      <c r="M19" s="9"/>
      <c r="N19" s="196"/>
      <c r="P19" s="9"/>
      <c r="Q19" s="196"/>
      <c r="S19" s="9">
        <v>0</v>
      </c>
      <c r="T19" s="196"/>
      <c r="V19" s="9">
        <v>0</v>
      </c>
      <c r="W19" s="173"/>
      <c r="Y19" s="9">
        <v>0</v>
      </c>
      <c r="Z19" s="173"/>
      <c r="AB19" s="9">
        <v>0</v>
      </c>
      <c r="AC19" s="8"/>
      <c r="AE19" s="9">
        <v>0</v>
      </c>
      <c r="AF19" s="8"/>
      <c r="AH19" s="9">
        <v>0</v>
      </c>
      <c r="AI19" s="8"/>
      <c r="AK19" s="9">
        <v>7458.3500000000013</v>
      </c>
      <c r="AL19" s="8"/>
      <c r="AN19" s="9">
        <v>-41.450000000000728</v>
      </c>
      <c r="AO19" s="8"/>
      <c r="AQ19" s="6">
        <v>2458.5500000000002</v>
      </c>
      <c r="AR19" s="8"/>
      <c r="AS19" s="7"/>
      <c r="AT19" s="6">
        <v>0</v>
      </c>
      <c r="AU19" s="8"/>
    </row>
    <row r="20" spans="1:50" s="12" customFormat="1" ht="13.5" customHeight="1" x14ac:dyDescent="0.2">
      <c r="E20" s="204">
        <f>+D18+D17</f>
        <v>7652.37</v>
      </c>
      <c r="G20" s="68"/>
      <c r="H20" s="204">
        <v>9938</v>
      </c>
      <c r="J20" s="68"/>
      <c r="K20" s="204">
        <v>9858.17</v>
      </c>
      <c r="M20" s="68"/>
      <c r="N20" s="204">
        <v>6658.1700000000019</v>
      </c>
      <c r="P20" s="68"/>
      <c r="Q20" s="196">
        <v>18096.86</v>
      </c>
      <c r="S20" s="68"/>
      <c r="T20" s="196">
        <f>+S19+S17+S18</f>
        <v>22556.86</v>
      </c>
      <c r="V20" s="68"/>
      <c r="W20" s="192">
        <v>23235.189999999995</v>
      </c>
      <c r="Y20" s="68"/>
      <c r="Z20" s="192">
        <f>+Y19+Y17+Y18</f>
        <v>20011.22</v>
      </c>
      <c r="AB20" s="68"/>
      <c r="AC20" s="49">
        <f>+AB19+AB17+AB18</f>
        <v>21600.400000000001</v>
      </c>
      <c r="AE20" s="68"/>
      <c r="AF20" s="49">
        <f>+AE19+AE17+AE18</f>
        <v>18794.260000000002</v>
      </c>
      <c r="AH20" s="68"/>
      <c r="AI20" s="49">
        <v>18723.849999999999</v>
      </c>
      <c r="AK20" s="68"/>
      <c r="AL20" s="49">
        <v>9553.8500000000022</v>
      </c>
      <c r="AN20" s="68"/>
      <c r="AO20" s="49">
        <v>3724.0499999999993</v>
      </c>
      <c r="AQ20" s="13"/>
      <c r="AR20" s="49">
        <v>3094.05</v>
      </c>
      <c r="AS20" s="50"/>
      <c r="AT20" s="50"/>
      <c r="AU20" s="49">
        <v>635.5</v>
      </c>
    </row>
    <row r="21" spans="1:50" s="12" customFormat="1" ht="13.5" thickBot="1" x14ac:dyDescent="0.25">
      <c r="A21" s="11" t="s">
        <v>30</v>
      </c>
      <c r="E21" s="205">
        <v>0</v>
      </c>
      <c r="G21" s="68"/>
      <c r="H21" s="205">
        <v>0</v>
      </c>
      <c r="J21" s="68"/>
      <c r="K21" s="205">
        <v>0</v>
      </c>
      <c r="M21" s="68"/>
      <c r="N21" s="205">
        <v>0</v>
      </c>
      <c r="Q21" s="194">
        <v>0</v>
      </c>
      <c r="T21" s="194">
        <v>0</v>
      </c>
      <c r="W21" s="190">
        <v>0</v>
      </c>
      <c r="Z21" s="190">
        <v>0</v>
      </c>
      <c r="AC21" s="16">
        <v>0</v>
      </c>
      <c r="AF21" s="16">
        <v>0</v>
      </c>
      <c r="AI21" s="16">
        <v>0</v>
      </c>
      <c r="AL21" s="16">
        <v>1677.0299999999997</v>
      </c>
      <c r="AO21" s="16">
        <v>6879</v>
      </c>
      <c r="AQ21" s="13"/>
      <c r="AR21" s="51">
        <v>2993.0299999999997</v>
      </c>
      <c r="AS21" s="36"/>
      <c r="AT21" s="13"/>
      <c r="AU21" s="17">
        <v>0</v>
      </c>
    </row>
    <row r="22" spans="1:50" s="20" customFormat="1" ht="19.5" customHeight="1" x14ac:dyDescent="0.2">
      <c r="C22" s="107" t="s">
        <v>740</v>
      </c>
      <c r="D22" s="107"/>
      <c r="E22" s="203">
        <f>+D18+D17</f>
        <v>7652.37</v>
      </c>
      <c r="F22" s="107"/>
      <c r="G22" s="165"/>
      <c r="H22" s="203">
        <v>9938.3499999999913</v>
      </c>
      <c r="I22" s="107"/>
      <c r="J22" s="165"/>
      <c r="K22" s="203">
        <v>9858.17</v>
      </c>
      <c r="L22" s="107"/>
      <c r="M22" s="165"/>
      <c r="N22" s="203">
        <v>6658.1699999999928</v>
      </c>
      <c r="O22" s="107"/>
      <c r="P22" s="165"/>
      <c r="Q22" s="199">
        <v>18096.86</v>
      </c>
      <c r="R22" s="107"/>
      <c r="S22" s="165"/>
      <c r="T22" s="199">
        <f>+T20</f>
        <v>22556.86</v>
      </c>
      <c r="U22" s="107"/>
      <c r="V22" s="165"/>
      <c r="W22" s="191">
        <v>23235.189999999995</v>
      </c>
      <c r="X22" s="107"/>
      <c r="Y22" s="165"/>
      <c r="Z22" s="191">
        <f>+Z20</f>
        <v>20011.22</v>
      </c>
      <c r="AA22" s="107"/>
      <c r="AB22" s="165"/>
      <c r="AC22" s="18">
        <f>+AC20</f>
        <v>21600.400000000001</v>
      </c>
      <c r="AD22" s="107"/>
      <c r="AE22" s="165"/>
      <c r="AF22" s="18">
        <f>+AF20+AF21</f>
        <v>18794.260000000002</v>
      </c>
      <c r="AG22" s="107"/>
      <c r="AH22" s="165"/>
      <c r="AI22" s="18">
        <v>18723.849999999999</v>
      </c>
      <c r="AJ22" s="107"/>
      <c r="AK22" s="165"/>
      <c r="AL22" s="18">
        <v>11230.880000000001</v>
      </c>
      <c r="AM22" s="107"/>
      <c r="AN22" s="165"/>
      <c r="AO22" s="18">
        <v>10603.05</v>
      </c>
      <c r="AP22" s="107"/>
      <c r="AQ22" s="166"/>
      <c r="AR22" s="18">
        <v>6087.08</v>
      </c>
      <c r="AS22" s="37"/>
      <c r="AT22" s="166"/>
      <c r="AU22" s="18">
        <v>635.5</v>
      </c>
    </row>
    <row r="23" spans="1:50" ht="19.5" customHeight="1" x14ac:dyDescent="0.2">
      <c r="E23" s="196"/>
      <c r="H23" s="196"/>
      <c r="K23" s="196"/>
      <c r="N23" s="196"/>
      <c r="Q23" s="199"/>
      <c r="T23" s="199"/>
      <c r="W23" s="191"/>
      <c r="Z23" s="191"/>
      <c r="AC23" s="18"/>
      <c r="AF23" s="18"/>
      <c r="AI23" s="18"/>
      <c r="AL23" s="18"/>
      <c r="AO23" s="18"/>
      <c r="AQ23" s="5"/>
      <c r="AR23" s="18"/>
      <c r="AS23" s="37"/>
      <c r="AT23" s="5"/>
      <c r="AU23" s="18"/>
    </row>
    <row r="24" spans="1:50" ht="8.25" customHeight="1" x14ac:dyDescent="0.2">
      <c r="E24" s="196"/>
      <c r="H24" s="196"/>
      <c r="K24" s="196"/>
      <c r="N24" s="196"/>
      <c r="Q24" s="199"/>
      <c r="T24" s="199"/>
      <c r="W24" s="191"/>
      <c r="Z24" s="191"/>
      <c r="AC24" s="18"/>
      <c r="AF24" s="18"/>
      <c r="AI24" s="18"/>
      <c r="AL24" s="18"/>
      <c r="AO24" s="18"/>
      <c r="AQ24" s="5"/>
      <c r="AR24" s="18"/>
      <c r="AS24" s="37"/>
      <c r="AT24" s="5"/>
      <c r="AU24" s="18"/>
    </row>
    <row r="25" spans="1:50" x14ac:dyDescent="0.2">
      <c r="AQ25" s="5"/>
      <c r="AR25" s="7"/>
      <c r="AS25" s="7"/>
      <c r="AT25" s="5"/>
      <c r="AU25" s="7"/>
    </row>
    <row r="26" spans="1:50" x14ac:dyDescent="0.2">
      <c r="Q26" s="200"/>
      <c r="T26" s="200"/>
      <c r="W26" s="52"/>
      <c r="Z26" s="52"/>
      <c r="AC26" s="52"/>
      <c r="AF26" s="52"/>
      <c r="AI26" s="52"/>
      <c r="AL26" s="52"/>
      <c r="AO26" s="52"/>
    </row>
    <row r="27" spans="1:50" x14ac:dyDescent="0.2">
      <c r="A27" t="s">
        <v>31</v>
      </c>
      <c r="C27" s="147" t="s">
        <v>773</v>
      </c>
      <c r="D27" s="147"/>
      <c r="E27" s="147"/>
      <c r="F27" s="147"/>
      <c r="I27" s="147"/>
      <c r="AR27" s="22"/>
      <c r="AS27" s="22"/>
      <c r="AU27" s="22"/>
    </row>
    <row r="28" spans="1:50" x14ac:dyDescent="0.2">
      <c r="A28" s="70" t="s">
        <v>470</v>
      </c>
      <c r="Q28" s="200"/>
      <c r="AX28" s="12"/>
    </row>
    <row r="29" spans="1:50" x14ac:dyDescent="0.2">
      <c r="A29" t="s">
        <v>471</v>
      </c>
      <c r="E29" s="52"/>
    </row>
    <row r="30" spans="1:50" x14ac:dyDescent="0.2">
      <c r="E30" s="224"/>
    </row>
    <row r="31" spans="1:50" x14ac:dyDescent="0.2">
      <c r="E31" s="224"/>
    </row>
  </sheetData>
  <mergeCells count="30">
    <mergeCell ref="AH3:AI3"/>
    <mergeCell ref="AK3:AL3"/>
    <mergeCell ref="AN3:AO3"/>
    <mergeCell ref="G3:H3"/>
    <mergeCell ref="J3:K3"/>
    <mergeCell ref="M3:N3"/>
    <mergeCell ref="P3:Q3"/>
    <mergeCell ref="S3:T3"/>
    <mergeCell ref="V3:W3"/>
    <mergeCell ref="AN4:AO4"/>
    <mergeCell ref="AQ4:AR4"/>
    <mergeCell ref="AT4:AU4"/>
    <mergeCell ref="AQ3:AR3"/>
    <mergeCell ref="AT3:AU3"/>
    <mergeCell ref="D3:E3"/>
    <mergeCell ref="D4:E4"/>
    <mergeCell ref="AE4:AF4"/>
    <mergeCell ref="AH4:AI4"/>
    <mergeCell ref="AK4:AL4"/>
    <mergeCell ref="G4:H4"/>
    <mergeCell ref="J4:K4"/>
    <mergeCell ref="M4:N4"/>
    <mergeCell ref="P4:Q4"/>
    <mergeCell ref="S4:T4"/>
    <mergeCell ref="V4:W4"/>
    <mergeCell ref="Y4:Z4"/>
    <mergeCell ref="AB4:AC4"/>
    <mergeCell ref="Y3:Z3"/>
    <mergeCell ref="AB3:AC3"/>
    <mergeCell ref="AE3:AF3"/>
  </mergeCells>
  <pageMargins left="0.74803149606299213" right="0.51181102362204722" top="0.98425196850393704" bottom="0.82677165354330717" header="0.51181102362204722" footer="0.51181102362204722"/>
  <pageSetup paperSize="9" scale="83" orientation="landscape" r:id="rId1"/>
  <headerFooter alignWithMargins="0">
    <oddFooter>&amp;L&amp;F, &amp;A&amp;R&amp;D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72</vt:i4>
      </vt:variant>
      <vt:variant>
        <vt:lpstr>Benoemde bereiken</vt:lpstr>
      </vt:variant>
      <vt:variant>
        <vt:i4>56</vt:i4>
      </vt:variant>
    </vt:vector>
  </HeadingPairs>
  <TitlesOfParts>
    <vt:vector size="128" baseType="lpstr">
      <vt:lpstr>balans 2024 (2)</vt:lpstr>
      <vt:lpstr>winst en verlies 2024 5 jaar</vt:lpstr>
      <vt:lpstr>balans 2024 5 jaar</vt:lpstr>
      <vt:lpstr>balans 2024</vt:lpstr>
      <vt:lpstr>winst en verlies 2024</vt:lpstr>
      <vt:lpstr>kolommenbalans 2024</vt:lpstr>
      <vt:lpstr>balans 2023 5 jaren</vt:lpstr>
      <vt:lpstr>winst en verlies 2023 5 jaren</vt:lpstr>
      <vt:lpstr>balans 2023</vt:lpstr>
      <vt:lpstr>winst en verlies 2023</vt:lpstr>
      <vt:lpstr>kolommenbalans 2023</vt:lpstr>
      <vt:lpstr>balans 2022</vt:lpstr>
      <vt:lpstr>winst en verlies 2022</vt:lpstr>
      <vt:lpstr>kolommenbalans 2022</vt:lpstr>
      <vt:lpstr>balans 2021</vt:lpstr>
      <vt:lpstr>winst en verlies 2021</vt:lpstr>
      <vt:lpstr>kolommenbalans 2021</vt:lpstr>
      <vt:lpstr>balans 2020 alle jaren</vt:lpstr>
      <vt:lpstr>winst en verlies 2020</vt:lpstr>
      <vt:lpstr>kolommenbalans 2020</vt:lpstr>
      <vt:lpstr>balans 2020 vijf jaar</vt:lpstr>
      <vt:lpstr>overloop 2020</vt:lpstr>
      <vt:lpstr>balans 2019 alle jaren</vt:lpstr>
      <vt:lpstr>winst en verlies 2019</vt:lpstr>
      <vt:lpstr>kolommenbalans 2019</vt:lpstr>
      <vt:lpstr>balans 2019 vijf jaar</vt:lpstr>
      <vt:lpstr>overloop 2019</vt:lpstr>
      <vt:lpstr>hoe bij website te komen</vt:lpstr>
      <vt:lpstr>hoe bij website te komen oud</vt:lpstr>
      <vt:lpstr>balans 2018 vijf jaar</vt:lpstr>
      <vt:lpstr>balans 2018 alle jaren</vt:lpstr>
      <vt:lpstr>winst en verlies 2018</vt:lpstr>
      <vt:lpstr>kolommenbalans 2018</vt:lpstr>
      <vt:lpstr>kolommenbalans concept</vt:lpstr>
      <vt:lpstr>overloop 2018</vt:lpstr>
      <vt:lpstr>balans 2017</vt:lpstr>
      <vt:lpstr>balans 2017 alle jaren</vt:lpstr>
      <vt:lpstr>winst en verlies 2017</vt:lpstr>
      <vt:lpstr>kolommenbalans 2017</vt:lpstr>
      <vt:lpstr>overloop 2017</vt:lpstr>
      <vt:lpstr>balans 2016</vt:lpstr>
      <vt:lpstr>winst en verlies 2016</vt:lpstr>
      <vt:lpstr>kolommenbalans 2016</vt:lpstr>
      <vt:lpstr>overloop 2016</vt:lpstr>
      <vt:lpstr>balans 2015</vt:lpstr>
      <vt:lpstr>winst en verlies 2015</vt:lpstr>
      <vt:lpstr>kolommenbalans 2015</vt:lpstr>
      <vt:lpstr>overloop 2015</vt:lpstr>
      <vt:lpstr>balans 2014</vt:lpstr>
      <vt:lpstr>winst en verlies 2014</vt:lpstr>
      <vt:lpstr>kolommenbalans 2014</vt:lpstr>
      <vt:lpstr>overloop 2014</vt:lpstr>
      <vt:lpstr>balans 2013</vt:lpstr>
      <vt:lpstr>winst en verlies 2013</vt:lpstr>
      <vt:lpstr>kolommenbalans 2013</vt:lpstr>
      <vt:lpstr>overloop 2013</vt:lpstr>
      <vt:lpstr>balans 2012</vt:lpstr>
      <vt:lpstr>winst en verlies 2012</vt:lpstr>
      <vt:lpstr>kolommenbalans 2012</vt:lpstr>
      <vt:lpstr>overloop 2012</vt:lpstr>
      <vt:lpstr>balans 2011</vt:lpstr>
      <vt:lpstr>winst en verlies 2011</vt:lpstr>
      <vt:lpstr>rabo mutaties</vt:lpstr>
      <vt:lpstr>overloop 2011</vt:lpstr>
      <vt:lpstr>kolommenbalans 2011</vt:lpstr>
      <vt:lpstr>balans 2010</vt:lpstr>
      <vt:lpstr>winst en verlies 2010</vt:lpstr>
      <vt:lpstr>overloop 2010</vt:lpstr>
      <vt:lpstr>balans 2009</vt:lpstr>
      <vt:lpstr>winst en verlies 2009</vt:lpstr>
      <vt:lpstr>meerjarenbegroting </vt:lpstr>
      <vt:lpstr>prognose balansen</vt:lpstr>
      <vt:lpstr>'balans 2013'!Afdrukbereik</vt:lpstr>
      <vt:lpstr>'balans 2014'!Afdrukbereik</vt:lpstr>
      <vt:lpstr>'balans 2015'!Afdrukbereik</vt:lpstr>
      <vt:lpstr>'balans 2016'!Afdrukbereik</vt:lpstr>
      <vt:lpstr>'balans 2017'!Afdrukbereik</vt:lpstr>
      <vt:lpstr>'balans 2017 alle jaren'!Afdrukbereik</vt:lpstr>
      <vt:lpstr>'balans 2018 alle jaren'!Afdrukbereik</vt:lpstr>
      <vt:lpstr>'balans 2018 vijf jaar'!Afdrukbereik</vt:lpstr>
      <vt:lpstr>'balans 2019 alle jaren'!Afdrukbereik</vt:lpstr>
      <vt:lpstr>'balans 2019 vijf jaar'!Afdrukbereik</vt:lpstr>
      <vt:lpstr>'balans 2020 alle jaren'!Afdrukbereik</vt:lpstr>
      <vt:lpstr>'balans 2020 vijf jaar'!Afdrukbereik</vt:lpstr>
      <vt:lpstr>'balans 2021'!Afdrukbereik</vt:lpstr>
      <vt:lpstr>'balans 2022'!Afdrukbereik</vt:lpstr>
      <vt:lpstr>'balans 2023'!Afdrukbereik</vt:lpstr>
      <vt:lpstr>'balans 2023 5 jaren'!Afdrukbereik</vt:lpstr>
      <vt:lpstr>'balans 2024'!Afdrukbereik</vt:lpstr>
      <vt:lpstr>'balans 2024 (2)'!Afdrukbereik</vt:lpstr>
      <vt:lpstr>'balans 2024 5 jaar'!Afdrukbereik</vt:lpstr>
      <vt:lpstr>'kolommenbalans 2014'!Afdrukbereik</vt:lpstr>
      <vt:lpstr>'kolommenbalans 2015'!Afdrukbereik</vt:lpstr>
      <vt:lpstr>'kolommenbalans 2016'!Afdrukbereik</vt:lpstr>
      <vt:lpstr>'kolommenbalans 2017'!Afdrukbereik</vt:lpstr>
      <vt:lpstr>'kolommenbalans 2018'!Afdrukbereik</vt:lpstr>
      <vt:lpstr>'kolommenbalans 2019'!Afdrukbereik</vt:lpstr>
      <vt:lpstr>'kolommenbalans 2020'!Afdrukbereik</vt:lpstr>
      <vt:lpstr>'kolommenbalans 2021'!Afdrukbereik</vt:lpstr>
      <vt:lpstr>'kolommenbalans 2022'!Afdrukbereik</vt:lpstr>
      <vt:lpstr>'kolommenbalans 2023'!Afdrukbereik</vt:lpstr>
      <vt:lpstr>'kolommenbalans 2024'!Afdrukbereik</vt:lpstr>
      <vt:lpstr>'kolommenbalans concept'!Afdrukbereik</vt:lpstr>
      <vt:lpstr>'meerjarenbegroting '!Afdrukbereik</vt:lpstr>
      <vt:lpstr>'overloop 2016'!Afdrukbereik</vt:lpstr>
      <vt:lpstr>'overloop 2017'!Afdrukbereik</vt:lpstr>
      <vt:lpstr>'overloop 2018'!Afdrukbereik</vt:lpstr>
      <vt:lpstr>'overloop 2019'!Afdrukbereik</vt:lpstr>
      <vt:lpstr>'overloop 2020'!Afdrukbereik</vt:lpstr>
      <vt:lpstr>'rabo mutaties'!Afdrukbereik</vt:lpstr>
      <vt:lpstr>'winst en verlies 2009'!Afdrukbereik</vt:lpstr>
      <vt:lpstr>'winst en verlies 2010'!Afdrukbereik</vt:lpstr>
      <vt:lpstr>'winst en verlies 2011'!Afdrukbereik</vt:lpstr>
      <vt:lpstr>'winst en verlies 2012'!Afdrukbereik</vt:lpstr>
      <vt:lpstr>'winst en verlies 2013'!Afdrukbereik</vt:lpstr>
      <vt:lpstr>'winst en verlies 2014'!Afdrukbereik</vt:lpstr>
      <vt:lpstr>'winst en verlies 2015'!Afdrukbereik</vt:lpstr>
      <vt:lpstr>'winst en verlies 2016'!Afdrukbereik</vt:lpstr>
      <vt:lpstr>'winst en verlies 2017'!Afdrukbereik</vt:lpstr>
      <vt:lpstr>'winst en verlies 2018'!Afdrukbereik</vt:lpstr>
      <vt:lpstr>'winst en verlies 2019'!Afdrukbereik</vt:lpstr>
      <vt:lpstr>'winst en verlies 2020'!Afdrukbereik</vt:lpstr>
      <vt:lpstr>'winst en verlies 2021'!Afdrukbereik</vt:lpstr>
      <vt:lpstr>'winst en verlies 2022'!Afdrukbereik</vt:lpstr>
      <vt:lpstr>'winst en verlies 2023'!Afdrukbereik</vt:lpstr>
      <vt:lpstr>'winst en verlies 2023 5 jaren'!Afdrukbereik</vt:lpstr>
      <vt:lpstr>'winst en verlies 2024'!Afdrukbereik</vt:lpstr>
      <vt:lpstr>'winst en verlies 2024 5 jaar'!Afdrukbereik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Wassenaar</dc:creator>
  <cp:lastModifiedBy>susan wassenaar</cp:lastModifiedBy>
  <cp:lastPrinted>2025-02-09T18:28:12Z</cp:lastPrinted>
  <dcterms:created xsi:type="dcterms:W3CDTF">2007-10-04T07:44:05Z</dcterms:created>
  <dcterms:modified xsi:type="dcterms:W3CDTF">2025-02-09T18:28:32Z</dcterms:modified>
</cp:coreProperties>
</file>